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am Personal\KTC\2025\"/>
    </mc:Choice>
  </mc:AlternateContent>
  <xr:revisionPtr revIDLastSave="0" documentId="13_ncr:1_{F40A1831-A8E5-4806-9B05-A60D38D6FBB2}" xr6:coauthVersionLast="47" xr6:coauthVersionMax="47" xr10:uidLastSave="{00000000-0000-0000-0000-000000000000}"/>
  <workbookProtection workbookAlgorithmName="SHA-512" workbookHashValue="D3qc6yyWxy06531lfcMLbfVR2HEyEBZ+P3BSKfrnLptrh+kbGeS5xnKvakeuUGJl18xEUk2u6uf9z1SMar/tPg==" workbookSaltValue="prGzlgfav3NMyFF3Jt0iww==" workbookSpinCount="100000" lockStructure="1"/>
  <bookViews>
    <workbookView xWindow="-28920" yWindow="-120" windowWidth="29040" windowHeight="15720" xr2:uid="{7E478777-A118-4518-A91B-6BD6A7D0138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44" i="1" l="1"/>
  <c r="U244" i="1" s="1"/>
  <c r="S243" i="1"/>
  <c r="U243" i="1" s="1"/>
  <c r="S239" i="1"/>
  <c r="S237" i="1"/>
  <c r="S238" i="1"/>
  <c r="U239" i="1"/>
  <c r="U237" i="1"/>
  <c r="U238" i="1"/>
  <c r="W105" i="1"/>
  <c r="S225" i="1"/>
  <c r="U225" i="1" s="1"/>
  <c r="T225" i="1"/>
  <c r="T248" i="1"/>
  <c r="S224" i="1"/>
  <c r="U224" i="1" s="1"/>
  <c r="T224" i="1"/>
  <c r="S220" i="1"/>
  <c r="U220" i="1" s="1"/>
  <c r="T220" i="1"/>
  <c r="S223" i="1"/>
  <c r="U223" i="1" s="1"/>
  <c r="T223" i="1"/>
  <c r="V14" i="1"/>
  <c r="T14" i="1"/>
  <c r="S14" i="1"/>
  <c r="V13" i="1"/>
  <c r="T13" i="1"/>
  <c r="S13" i="1"/>
  <c r="V11" i="1"/>
  <c r="T11" i="1"/>
  <c r="S11" i="1"/>
  <c r="W11" i="1" s="1"/>
  <c r="V12" i="1"/>
  <c r="T12" i="1"/>
  <c r="S12" i="1"/>
  <c r="W12" i="1" s="1"/>
  <c r="S32" i="1"/>
  <c r="S33" i="1"/>
  <c r="S20" i="1"/>
  <c r="S28" i="1"/>
  <c r="S19" i="1"/>
  <c r="S27" i="1"/>
  <c r="S22" i="1"/>
  <c r="S24" i="1"/>
  <c r="S26" i="1"/>
  <c r="S21" i="1"/>
  <c r="S23" i="1"/>
  <c r="S18" i="1"/>
  <c r="S34" i="1"/>
  <c r="S30" i="1"/>
  <c r="S25" i="1"/>
  <c r="S31" i="1"/>
  <c r="S29" i="1"/>
  <c r="W29" i="1" s="1"/>
  <c r="T32" i="1"/>
  <c r="T33" i="1"/>
  <c r="T20" i="1"/>
  <c r="T28" i="1"/>
  <c r="T19" i="1"/>
  <c r="T27" i="1"/>
  <c r="T22" i="1"/>
  <c r="T24" i="1"/>
  <c r="T26" i="1"/>
  <c r="T21" i="1"/>
  <c r="T23" i="1"/>
  <c r="T18" i="1"/>
  <c r="T34" i="1"/>
  <c r="T30" i="1"/>
  <c r="T25" i="1"/>
  <c r="T31" i="1"/>
  <c r="T29" i="1"/>
  <c r="S37" i="1"/>
  <c r="S39" i="1"/>
  <c r="S38" i="1"/>
  <c r="S46" i="1"/>
  <c r="S42" i="1"/>
  <c r="S41" i="1"/>
  <c r="S40" i="1"/>
  <c r="S44" i="1"/>
  <c r="S47" i="1"/>
  <c r="S43" i="1"/>
  <c r="S45" i="1"/>
  <c r="S48" i="1"/>
  <c r="S49" i="1"/>
  <c r="S50" i="1"/>
  <c r="S51" i="1"/>
  <c r="W51" i="1" s="1"/>
  <c r="T37" i="1"/>
  <c r="T39" i="1"/>
  <c r="T38" i="1"/>
  <c r="T46" i="1"/>
  <c r="T42" i="1"/>
  <c r="T41" i="1"/>
  <c r="T40" i="1"/>
  <c r="T44" i="1"/>
  <c r="T47" i="1"/>
  <c r="T43" i="1"/>
  <c r="T45" i="1"/>
  <c r="T48" i="1"/>
  <c r="T49" i="1"/>
  <c r="T50" i="1"/>
  <c r="T51" i="1"/>
  <c r="S68" i="1"/>
  <c r="S55" i="1"/>
  <c r="T55" i="1"/>
  <c r="S62" i="1"/>
  <c r="T62" i="1"/>
  <c r="S75" i="1"/>
  <c r="T75" i="1"/>
  <c r="S60" i="1"/>
  <c r="T60" i="1"/>
  <c r="T68" i="1"/>
  <c r="S57" i="1"/>
  <c r="T57" i="1"/>
  <c r="S56" i="1"/>
  <c r="T56" i="1"/>
  <c r="S61" i="1"/>
  <c r="T61" i="1"/>
  <c r="S58" i="1"/>
  <c r="T58" i="1"/>
  <c r="S69" i="1"/>
  <c r="T69" i="1"/>
  <c r="S81" i="1"/>
  <c r="T81" i="1"/>
  <c r="S78" i="1"/>
  <c r="T78" i="1"/>
  <c r="S67" i="1"/>
  <c r="T67" i="1"/>
  <c r="S73" i="1"/>
  <c r="T73" i="1"/>
  <c r="S64" i="1"/>
  <c r="T64" i="1"/>
  <c r="S79" i="1"/>
  <c r="T79" i="1"/>
  <c r="S80" i="1"/>
  <c r="T80" i="1"/>
  <c r="S63" i="1"/>
  <c r="T63" i="1"/>
  <c r="S82" i="1"/>
  <c r="W82" i="1" s="1"/>
  <c r="T82" i="1"/>
  <c r="S70" i="1"/>
  <c r="T70" i="1"/>
  <c r="S66" i="1"/>
  <c r="T66" i="1"/>
  <c r="S74" i="1"/>
  <c r="T74" i="1"/>
  <c r="S65" i="1"/>
  <c r="T65" i="1"/>
  <c r="S77" i="1"/>
  <c r="T77" i="1"/>
  <c r="S71" i="1"/>
  <c r="T71" i="1"/>
  <c r="S76" i="1"/>
  <c r="T76" i="1"/>
  <c r="S72" i="1"/>
  <c r="T72" i="1"/>
  <c r="T59" i="1"/>
  <c r="S59" i="1"/>
  <c r="S236" i="1"/>
  <c r="U236" i="1" s="1"/>
  <c r="S106" i="1"/>
  <c r="V106" i="1" s="1"/>
  <c r="W106" i="1" s="1"/>
  <c r="T106" i="1"/>
  <c r="S92" i="1"/>
  <c r="V92" i="1" s="1"/>
  <c r="W92" i="1" s="1"/>
  <c r="T92" i="1"/>
  <c r="S105" i="1"/>
  <c r="V105" i="1" s="1"/>
  <c r="T105" i="1"/>
  <c r="S104" i="1"/>
  <c r="W104" i="1" s="1"/>
  <c r="T104" i="1"/>
  <c r="V104" i="1"/>
  <c r="S94" i="1"/>
  <c r="V94" i="1" s="1"/>
  <c r="T94" i="1"/>
  <c r="S90" i="1"/>
  <c r="W90" i="1" s="1"/>
  <c r="T90" i="1"/>
  <c r="V90" i="1"/>
  <c r="S99" i="1"/>
  <c r="V99" i="1" s="1"/>
  <c r="T99" i="1"/>
  <c r="V51" i="1"/>
  <c r="V82" i="1"/>
  <c r="W64" i="1" l="1"/>
  <c r="W94" i="1"/>
  <c r="W99" i="1"/>
  <c r="W20" i="1"/>
  <c r="W27" i="1"/>
  <c r="W13" i="1"/>
  <c r="W14" i="1"/>
  <c r="T244" i="1"/>
  <c r="S169" i="1"/>
  <c r="T169" i="1"/>
  <c r="S168" i="1"/>
  <c r="T168" i="1"/>
  <c r="S181" i="1"/>
  <c r="T181" i="1"/>
  <c r="S186" i="1"/>
  <c r="T186" i="1"/>
  <c r="S189" i="1"/>
  <c r="T189" i="1"/>
  <c r="S178" i="1"/>
  <c r="T178" i="1"/>
  <c r="S171" i="1"/>
  <c r="T171" i="1"/>
  <c r="S182" i="1"/>
  <c r="T182" i="1"/>
  <c r="S176" i="1"/>
  <c r="T176" i="1"/>
  <c r="S180" i="1"/>
  <c r="T180" i="1"/>
  <c r="S183" i="1"/>
  <c r="T183" i="1"/>
  <c r="S174" i="1"/>
  <c r="T174" i="1"/>
  <c r="S187" i="1"/>
  <c r="T187" i="1"/>
  <c r="S172" i="1"/>
  <c r="T172" i="1"/>
  <c r="S188" i="1"/>
  <c r="T188" i="1"/>
  <c r="S173" i="1"/>
  <c r="T173" i="1"/>
  <c r="S184" i="1"/>
  <c r="T184" i="1"/>
  <c r="S175" i="1"/>
  <c r="T175" i="1"/>
  <c r="S177" i="1"/>
  <c r="T177" i="1"/>
  <c r="S185" i="1"/>
  <c r="T185" i="1"/>
  <c r="S170" i="1"/>
  <c r="T170" i="1"/>
  <c r="S191" i="1"/>
  <c r="T191" i="1"/>
  <c r="S192" i="1"/>
  <c r="T192" i="1"/>
  <c r="S193" i="1"/>
  <c r="T193" i="1"/>
  <c r="S179" i="1"/>
  <c r="T179" i="1"/>
  <c r="S190" i="1"/>
  <c r="T190" i="1"/>
  <c r="S310" i="1"/>
  <c r="S311" i="1"/>
  <c r="S312" i="1"/>
  <c r="S145" i="1"/>
  <c r="V145" i="1" s="1"/>
  <c r="T145" i="1"/>
  <c r="V58" i="1"/>
  <c r="S284" i="1"/>
  <c r="U284" i="1" s="1"/>
  <c r="T284" i="1"/>
  <c r="S283" i="1"/>
  <c r="U283" i="1" s="1"/>
  <c r="T283" i="1"/>
  <c r="S279" i="1"/>
  <c r="U279" i="1" s="1"/>
  <c r="T279" i="1"/>
  <c r="S276" i="1"/>
  <c r="U276" i="1" s="1"/>
  <c r="T276" i="1"/>
  <c r="S210" i="1"/>
  <c r="V210" i="1" s="1"/>
  <c r="T210" i="1"/>
  <c r="S208" i="1"/>
  <c r="V208" i="1" s="1"/>
  <c r="T208" i="1"/>
  <c r="S157" i="1"/>
  <c r="V157" i="1" s="1"/>
  <c r="T157" i="1"/>
  <c r="S161" i="1"/>
  <c r="V161" i="1" s="1"/>
  <c r="T161" i="1"/>
  <c r="S160" i="1"/>
  <c r="V160" i="1" s="1"/>
  <c r="T160" i="1"/>
  <c r="V18" i="1"/>
  <c r="W18" i="1" s="1"/>
  <c r="S278" i="1"/>
  <c r="U278" i="1" s="1"/>
  <c r="T278" i="1"/>
  <c r="S156" i="1"/>
  <c r="V156" i="1" s="1"/>
  <c r="T156" i="1"/>
  <c r="S142" i="1"/>
  <c r="V142" i="1" s="1"/>
  <c r="T142" i="1"/>
  <c r="V74" i="1"/>
  <c r="W74" i="1" s="1"/>
  <c r="V63" i="1"/>
  <c r="W63" i="1" s="1"/>
  <c r="S282" i="1"/>
  <c r="U282" i="1" s="1"/>
  <c r="T282" i="1"/>
  <c r="S281" i="1"/>
  <c r="U281" i="1" s="1"/>
  <c r="T281" i="1"/>
  <c r="S256" i="1"/>
  <c r="T256" i="1"/>
  <c r="S280" i="1"/>
  <c r="U280" i="1" s="1"/>
  <c r="T280" i="1"/>
  <c r="S272" i="1"/>
  <c r="U272" i="1" s="1"/>
  <c r="T272" i="1"/>
  <c r="S271" i="1"/>
  <c r="U271" i="1" s="1"/>
  <c r="T271" i="1"/>
  <c r="S206" i="1"/>
  <c r="V206" i="1" s="1"/>
  <c r="T206" i="1"/>
  <c r="V67" i="1"/>
  <c r="W67" i="1" s="1"/>
  <c r="S275" i="1"/>
  <c r="U275" i="1" s="1"/>
  <c r="T275" i="1"/>
  <c r="S273" i="1"/>
  <c r="U273" i="1" s="1"/>
  <c r="T273" i="1"/>
  <c r="S266" i="1"/>
  <c r="U266" i="1" s="1"/>
  <c r="T266" i="1"/>
  <c r="T310" i="1"/>
  <c r="T311" i="1"/>
  <c r="T312" i="1"/>
  <c r="V310" i="1"/>
  <c r="V311" i="1"/>
  <c r="V312" i="1"/>
  <c r="S288" i="1"/>
  <c r="T288" i="1"/>
  <c r="V288" i="1"/>
  <c r="S290" i="1"/>
  <c r="T290" i="1"/>
  <c r="V290" i="1"/>
  <c r="S295" i="1"/>
  <c r="T295" i="1"/>
  <c r="V295" i="1"/>
  <c r="S300" i="1"/>
  <c r="T300" i="1"/>
  <c r="V300" i="1"/>
  <c r="S302" i="1"/>
  <c r="T302" i="1"/>
  <c r="V302" i="1"/>
  <c r="S303" i="1"/>
  <c r="T303" i="1"/>
  <c r="V303" i="1"/>
  <c r="S289" i="1"/>
  <c r="T289" i="1"/>
  <c r="V289" i="1"/>
  <c r="S291" i="1"/>
  <c r="T291" i="1"/>
  <c r="V291" i="1"/>
  <c r="S296" i="1"/>
  <c r="T296" i="1"/>
  <c r="V296" i="1"/>
  <c r="S293" i="1"/>
  <c r="T293" i="1"/>
  <c r="V293" i="1"/>
  <c r="S299" i="1"/>
  <c r="T299" i="1"/>
  <c r="V299" i="1"/>
  <c r="S297" i="1"/>
  <c r="T297" i="1"/>
  <c r="V297" i="1"/>
  <c r="S294" i="1"/>
  <c r="T294" i="1"/>
  <c r="V294" i="1"/>
  <c r="S301" i="1"/>
  <c r="T301" i="1"/>
  <c r="V301" i="1"/>
  <c r="S298" i="1"/>
  <c r="T298" i="1"/>
  <c r="V298" i="1"/>
  <c r="S292" i="1"/>
  <c r="T292" i="1"/>
  <c r="V292" i="1"/>
  <c r="S304" i="1"/>
  <c r="T304" i="1"/>
  <c r="V304" i="1"/>
  <c r="S305" i="1"/>
  <c r="T305" i="1"/>
  <c r="V305" i="1"/>
  <c r="S306" i="1"/>
  <c r="T306" i="1"/>
  <c r="V306" i="1"/>
  <c r="S204" i="1"/>
  <c r="V175" i="1"/>
  <c r="V60" i="1"/>
  <c r="W60" i="1" s="1"/>
  <c r="S203" i="1"/>
  <c r="S209" i="1"/>
  <c r="S269" i="1"/>
  <c r="U269" i="1" s="1"/>
  <c r="T269" i="1"/>
  <c r="S255" i="1"/>
  <c r="U255" i="1" s="1"/>
  <c r="T255" i="1"/>
  <c r="T230" i="1"/>
  <c r="T229" i="1"/>
  <c r="T231" i="1"/>
  <c r="T232" i="1"/>
  <c r="S230" i="1"/>
  <c r="U230" i="1" s="1"/>
  <c r="S229" i="1"/>
  <c r="U229" i="1" s="1"/>
  <c r="S231" i="1"/>
  <c r="U231" i="1" s="1"/>
  <c r="S232" i="1"/>
  <c r="U232" i="1" s="1"/>
  <c r="V177" i="1"/>
  <c r="V184" i="1"/>
  <c r="V174" i="1"/>
  <c r="V179" i="1"/>
  <c r="V182" i="1"/>
  <c r="S88" i="1"/>
  <c r="S102" i="1"/>
  <c r="S100" i="1"/>
  <c r="S89" i="1"/>
  <c r="S97" i="1"/>
  <c r="S103" i="1"/>
  <c r="W103" i="1" s="1"/>
  <c r="S98" i="1"/>
  <c r="T98" i="1"/>
  <c r="V98" i="1"/>
  <c r="S96" i="1"/>
  <c r="T96" i="1"/>
  <c r="T100" i="1"/>
  <c r="V100" i="1"/>
  <c r="V89" i="1"/>
  <c r="T89" i="1"/>
  <c r="T97" i="1"/>
  <c r="V97" i="1"/>
  <c r="S158" i="1"/>
  <c r="V158" i="1" s="1"/>
  <c r="T158" i="1"/>
  <c r="S149" i="1"/>
  <c r="V149" i="1" s="1"/>
  <c r="T149" i="1"/>
  <c r="V80" i="1"/>
  <c r="W80" i="1" s="1"/>
  <c r="V69" i="1"/>
  <c r="W69" i="1" s="1"/>
  <c r="V43" i="1"/>
  <c r="W43" i="1" s="1"/>
  <c r="V47" i="1"/>
  <c r="W47" i="1" s="1"/>
  <c r="V42" i="1"/>
  <c r="W42" i="1" s="1"/>
  <c r="V31" i="1"/>
  <c r="W31" i="1" s="1"/>
  <c r="V24" i="1"/>
  <c r="W24" i="1" s="1"/>
  <c r="V19" i="1"/>
  <c r="W19" i="1" s="1"/>
  <c r="S140" i="1"/>
  <c r="W140" i="1" s="1"/>
  <c r="T140" i="1"/>
  <c r="V140" i="1"/>
  <c r="S146" i="1"/>
  <c r="T146" i="1"/>
  <c r="V146" i="1"/>
  <c r="S154" i="1"/>
  <c r="T154" i="1"/>
  <c r="V154" i="1"/>
  <c r="S141" i="1"/>
  <c r="T141" i="1"/>
  <c r="V141" i="1"/>
  <c r="S134" i="1"/>
  <c r="W134" i="1" s="1"/>
  <c r="T134" i="1"/>
  <c r="V134" i="1"/>
  <c r="S148" i="1"/>
  <c r="T148" i="1"/>
  <c r="V148" i="1"/>
  <c r="S153" i="1"/>
  <c r="T153" i="1"/>
  <c r="V153" i="1"/>
  <c r="S162" i="1"/>
  <c r="T162" i="1"/>
  <c r="V162" i="1"/>
  <c r="S152" i="1"/>
  <c r="T152" i="1"/>
  <c r="V152" i="1"/>
  <c r="S136" i="1"/>
  <c r="T136" i="1"/>
  <c r="V136" i="1"/>
  <c r="S150" i="1"/>
  <c r="T150" i="1"/>
  <c r="V150" i="1"/>
  <c r="S135" i="1"/>
  <c r="T135" i="1"/>
  <c r="V135" i="1"/>
  <c r="S138" i="1"/>
  <c r="V138" i="1" s="1"/>
  <c r="T138" i="1"/>
  <c r="S151" i="1"/>
  <c r="V151" i="1" s="1"/>
  <c r="T151" i="1"/>
  <c r="S143" i="1"/>
  <c r="T143" i="1"/>
  <c r="V143" i="1"/>
  <c r="S144" i="1"/>
  <c r="T144" i="1"/>
  <c r="V144" i="1"/>
  <c r="S139" i="1"/>
  <c r="T139" i="1"/>
  <c r="V139" i="1"/>
  <c r="S137" i="1"/>
  <c r="T137" i="1"/>
  <c r="V137" i="1"/>
  <c r="S159" i="1"/>
  <c r="T159" i="1"/>
  <c r="V159" i="1"/>
  <c r="S163" i="1"/>
  <c r="T163" i="1"/>
  <c r="V163" i="1"/>
  <c r="S155" i="1"/>
  <c r="T155" i="1"/>
  <c r="V155" i="1"/>
  <c r="S164" i="1"/>
  <c r="T164" i="1"/>
  <c r="V164" i="1"/>
  <c r="S147" i="1"/>
  <c r="T147" i="1"/>
  <c r="V147" i="1"/>
  <c r="V78" i="1"/>
  <c r="W78" i="1" s="1"/>
  <c r="V50" i="1"/>
  <c r="W50" i="1" s="1"/>
  <c r="V38" i="1"/>
  <c r="W38" i="1" s="1"/>
  <c r="V25" i="1"/>
  <c r="W25" i="1" s="1"/>
  <c r="V32" i="1"/>
  <c r="W32" i="1" s="1"/>
  <c r="V21" i="1"/>
  <c r="W21" i="1" s="1"/>
  <c r="V44" i="1"/>
  <c r="W44" i="1" s="1"/>
  <c r="S214" i="1"/>
  <c r="S251" i="1"/>
  <c r="U251" i="1" s="1"/>
  <c r="T251" i="1"/>
  <c r="V28" i="1"/>
  <c r="W28" i="1" s="1"/>
  <c r="S213" i="1"/>
  <c r="S207" i="1"/>
  <c r="S211" i="1"/>
  <c r="S201" i="1"/>
  <c r="S253" i="1"/>
  <c r="U253" i="1" s="1"/>
  <c r="T253" i="1"/>
  <c r="S270" i="1"/>
  <c r="U270" i="1" s="1"/>
  <c r="S274" i="1"/>
  <c r="U274" i="1" s="1"/>
  <c r="T270" i="1"/>
  <c r="T274" i="1"/>
  <c r="T249" i="1"/>
  <c r="T250" i="1"/>
  <c r="T263" i="1"/>
  <c r="T259" i="1"/>
  <c r="T252" i="1"/>
  <c r="T258" i="1"/>
  <c r="T261" i="1"/>
  <c r="T262" i="1"/>
  <c r="T254" i="1"/>
  <c r="T257" i="1"/>
  <c r="S259" i="1"/>
  <c r="U259" i="1" s="1"/>
  <c r="S252" i="1"/>
  <c r="U252" i="1" s="1"/>
  <c r="S258" i="1"/>
  <c r="U258" i="1" s="1"/>
  <c r="S261" i="1"/>
  <c r="U261" i="1" s="1"/>
  <c r="S262" i="1"/>
  <c r="U262" i="1" s="1"/>
  <c r="S254" i="1"/>
  <c r="U254" i="1" s="1"/>
  <c r="S248" i="1"/>
  <c r="U248" i="1" s="1"/>
  <c r="S257" i="1"/>
  <c r="U257" i="1" s="1"/>
  <c r="S263" i="1"/>
  <c r="U263" i="1" s="1"/>
  <c r="S93" i="1"/>
  <c r="S101" i="1"/>
  <c r="S91" i="1"/>
  <c r="S222" i="1"/>
  <c r="U222" i="1" s="1"/>
  <c r="T267" i="1"/>
  <c r="T268" i="1"/>
  <c r="T277" i="1"/>
  <c r="S277" i="1"/>
  <c r="U277" i="1" s="1"/>
  <c r="S268" i="1"/>
  <c r="U268" i="1" s="1"/>
  <c r="S267" i="1"/>
  <c r="U267" i="1" s="1"/>
  <c r="S250" i="1"/>
  <c r="U250" i="1" s="1"/>
  <c r="T260" i="1"/>
  <c r="S260" i="1"/>
  <c r="U260" i="1" s="1"/>
  <c r="S249" i="1"/>
  <c r="U249" i="1" s="1"/>
  <c r="T243" i="1"/>
  <c r="T238" i="1"/>
  <c r="T237" i="1"/>
  <c r="T239" i="1"/>
  <c r="T236" i="1"/>
  <c r="T226" i="1"/>
  <c r="S226" i="1"/>
  <c r="U226" i="1" s="1"/>
  <c r="T219" i="1"/>
  <c r="S219" i="1"/>
  <c r="U219" i="1" s="1"/>
  <c r="T222" i="1"/>
  <c r="T221" i="1"/>
  <c r="S221" i="1"/>
  <c r="U221" i="1" s="1"/>
  <c r="V204" i="1"/>
  <c r="T204" i="1"/>
  <c r="V209" i="1"/>
  <c r="T209" i="1"/>
  <c r="V203" i="1"/>
  <c r="T203" i="1"/>
  <c r="V214" i="1"/>
  <c r="T214" i="1"/>
  <c r="V201" i="1"/>
  <c r="T201" i="1"/>
  <c r="V211" i="1"/>
  <c r="T211" i="1"/>
  <c r="V207" i="1"/>
  <c r="T207" i="1"/>
  <c r="V213" i="1"/>
  <c r="T213" i="1"/>
  <c r="V212" i="1"/>
  <c r="T212" i="1"/>
  <c r="S212" i="1"/>
  <c r="V202" i="1"/>
  <c r="T202" i="1"/>
  <c r="S202" i="1"/>
  <c r="V198" i="1"/>
  <c r="T198" i="1"/>
  <c r="S198" i="1"/>
  <c r="V199" i="1"/>
  <c r="T199" i="1"/>
  <c r="S199" i="1"/>
  <c r="V200" i="1"/>
  <c r="T200" i="1"/>
  <c r="S200" i="1"/>
  <c r="V205" i="1"/>
  <c r="T205" i="1"/>
  <c r="S205" i="1"/>
  <c r="V190" i="1"/>
  <c r="V173" i="1"/>
  <c r="V192" i="1"/>
  <c r="V187" i="1"/>
  <c r="V191" i="1"/>
  <c r="V194" i="1"/>
  <c r="T194" i="1"/>
  <c r="S194" i="1"/>
  <c r="V170" i="1"/>
  <c r="V189" i="1"/>
  <c r="V186" i="1"/>
  <c r="V183" i="1"/>
  <c r="V168" i="1"/>
  <c r="V172" i="1"/>
  <c r="V169" i="1"/>
  <c r="V193" i="1"/>
  <c r="V180" i="1"/>
  <c r="V181" i="1"/>
  <c r="V178" i="1"/>
  <c r="V176" i="1"/>
  <c r="V185" i="1"/>
  <c r="V188" i="1"/>
  <c r="V171" i="1"/>
  <c r="V130" i="1"/>
  <c r="T130" i="1"/>
  <c r="S130" i="1"/>
  <c r="V112" i="1"/>
  <c r="T112" i="1"/>
  <c r="S112" i="1"/>
  <c r="V113" i="1"/>
  <c r="T113" i="1"/>
  <c r="S113" i="1"/>
  <c r="V116" i="1"/>
  <c r="T116" i="1"/>
  <c r="S116" i="1"/>
  <c r="V119" i="1"/>
  <c r="T119" i="1"/>
  <c r="S119" i="1"/>
  <c r="V127" i="1"/>
  <c r="T127" i="1"/>
  <c r="S127" i="1"/>
  <c r="V125" i="1"/>
  <c r="T125" i="1"/>
  <c r="S125" i="1"/>
  <c r="V129" i="1"/>
  <c r="T129" i="1"/>
  <c r="S129" i="1"/>
  <c r="V123" i="1"/>
  <c r="T123" i="1"/>
  <c r="S123" i="1"/>
  <c r="V121" i="1"/>
  <c r="T121" i="1"/>
  <c r="S121" i="1"/>
  <c r="V126" i="1"/>
  <c r="T126" i="1"/>
  <c r="S126" i="1"/>
  <c r="V115" i="1"/>
  <c r="T115" i="1"/>
  <c r="S115" i="1"/>
  <c r="V122" i="1"/>
  <c r="T122" i="1"/>
  <c r="S122" i="1"/>
  <c r="V117" i="1"/>
  <c r="T117" i="1"/>
  <c r="S117" i="1"/>
  <c r="V114" i="1"/>
  <c r="T114" i="1"/>
  <c r="S114" i="1"/>
  <c r="V118" i="1"/>
  <c r="T118" i="1"/>
  <c r="S118" i="1"/>
  <c r="V124" i="1"/>
  <c r="T124" i="1"/>
  <c r="S124" i="1"/>
  <c r="V128" i="1"/>
  <c r="T128" i="1"/>
  <c r="S128" i="1"/>
  <c r="V111" i="1"/>
  <c r="T111" i="1"/>
  <c r="S111" i="1"/>
  <c r="V110" i="1"/>
  <c r="T110" i="1"/>
  <c r="S110" i="1"/>
  <c r="V120" i="1"/>
  <c r="T120" i="1"/>
  <c r="S120" i="1"/>
  <c r="V103" i="1"/>
  <c r="T103" i="1"/>
  <c r="V102" i="1"/>
  <c r="T102" i="1"/>
  <c r="V88" i="1"/>
  <c r="T88" i="1"/>
  <c r="V93" i="1"/>
  <c r="T93" i="1"/>
  <c r="V101" i="1"/>
  <c r="T101" i="1"/>
  <c r="V91" i="1"/>
  <c r="T91" i="1"/>
  <c r="V86" i="1"/>
  <c r="T86" i="1"/>
  <c r="S86" i="1"/>
  <c r="W86" i="1" s="1"/>
  <c r="V95" i="1"/>
  <c r="T95" i="1"/>
  <c r="S95" i="1"/>
  <c r="W95" i="1" s="1"/>
  <c r="V87" i="1"/>
  <c r="T87" i="1"/>
  <c r="S87" i="1"/>
  <c r="V72" i="1"/>
  <c r="W72" i="1" s="1"/>
  <c r="V81" i="1"/>
  <c r="W81" i="1" s="1"/>
  <c r="V55" i="1"/>
  <c r="W55" i="1" s="1"/>
  <c r="V76" i="1"/>
  <c r="W76" i="1" s="1"/>
  <c r="V61" i="1"/>
  <c r="W61" i="1" s="1"/>
  <c r="V57" i="1"/>
  <c r="W57" i="1" s="1"/>
  <c r="V75" i="1"/>
  <c r="W75" i="1" s="1"/>
  <c r="V66" i="1"/>
  <c r="W66" i="1" s="1"/>
  <c r="V56" i="1"/>
  <c r="W56" i="1" s="1"/>
  <c r="V68" i="1"/>
  <c r="W68" i="1" s="1"/>
  <c r="V71" i="1"/>
  <c r="W71" i="1" s="1"/>
  <c r="V73" i="1"/>
  <c r="W73" i="1" s="1"/>
  <c r="V77" i="1"/>
  <c r="W77" i="1" s="1"/>
  <c r="V70" i="1"/>
  <c r="W70" i="1" s="1"/>
  <c r="V65" i="1"/>
  <c r="W65" i="1" s="1"/>
  <c r="V64" i="1"/>
  <c r="V59" i="1"/>
  <c r="W59" i="1" s="1"/>
  <c r="V79" i="1"/>
  <c r="W79" i="1" s="1"/>
  <c r="V62" i="1"/>
  <c r="W62" i="1" s="1"/>
  <c r="V49" i="1"/>
  <c r="W49" i="1" s="1"/>
  <c r="V46" i="1"/>
  <c r="W46" i="1" s="1"/>
  <c r="V41" i="1"/>
  <c r="W41" i="1" s="1"/>
  <c r="V37" i="1"/>
  <c r="W37" i="1" s="1"/>
  <c r="V48" i="1"/>
  <c r="W48" i="1" s="1"/>
  <c r="V45" i="1"/>
  <c r="W45" i="1" s="1"/>
  <c r="V40" i="1"/>
  <c r="W40" i="1" s="1"/>
  <c r="V39" i="1"/>
  <c r="W39" i="1" s="1"/>
  <c r="V33" i="1"/>
  <c r="W33" i="1" s="1"/>
  <c r="V22" i="1"/>
  <c r="W22" i="1" s="1"/>
  <c r="V20" i="1"/>
  <c r="V30" i="1"/>
  <c r="W30" i="1" s="1"/>
  <c r="V34" i="1"/>
  <c r="W34" i="1" s="1"/>
  <c r="V23" i="1"/>
  <c r="W23" i="1" s="1"/>
  <c r="V26" i="1"/>
  <c r="W26" i="1" s="1"/>
  <c r="V27" i="1"/>
  <c r="W91" i="1" l="1"/>
  <c r="W98" i="1"/>
  <c r="W97" i="1"/>
  <c r="W89" i="1"/>
  <c r="W100" i="1"/>
  <c r="W93" i="1"/>
  <c r="W102" i="1"/>
  <c r="W101" i="1"/>
  <c r="W88" i="1"/>
  <c r="V96" i="1"/>
  <c r="W96" i="1" s="1"/>
  <c r="W87" i="1"/>
  <c r="W110" i="1"/>
  <c r="W288" i="1"/>
  <c r="W289" i="1"/>
  <c r="W200" i="1"/>
  <c r="W305" i="1"/>
  <c r="W306" i="1"/>
  <c r="W293" i="1"/>
  <c r="W290" i="1"/>
  <c r="W303" i="1"/>
  <c r="W311" i="1"/>
  <c r="W120" i="1"/>
  <c r="W294" i="1"/>
  <c r="W312" i="1"/>
  <c r="W304" i="1"/>
  <c r="W302" i="1"/>
  <c r="W212" i="1"/>
  <c r="W292" i="1"/>
  <c r="W291" i="1"/>
  <c r="W164" i="1"/>
  <c r="W298" i="1"/>
  <c r="W211" i="1"/>
  <c r="W203" i="1"/>
  <c r="W204" i="1"/>
  <c r="W127" i="1"/>
  <c r="W296" i="1"/>
  <c r="W213" i="1"/>
  <c r="W111" i="1"/>
  <c r="W199" i="1"/>
  <c r="W299" i="1"/>
  <c r="W310" i="1"/>
  <c r="W128" i="1"/>
  <c r="W126" i="1"/>
  <c r="W119" i="1"/>
  <c r="W115" i="1"/>
  <c r="W188" i="1"/>
  <c r="W169" i="1"/>
  <c r="W189" i="1"/>
  <c r="W190" i="1"/>
  <c r="W185" i="1"/>
  <c r="W170" i="1"/>
  <c r="U256" i="1"/>
  <c r="W202" i="1"/>
  <c r="W201" i="1"/>
  <c r="W214" i="1"/>
  <c r="W207" i="1"/>
  <c r="W210" i="1"/>
  <c r="W205" i="1"/>
  <c r="W206" i="1"/>
  <c r="W198" i="1"/>
  <c r="W209" i="1"/>
  <c r="W208" i="1"/>
  <c r="W297" i="1"/>
  <c r="W300" i="1"/>
  <c r="W301" i="1"/>
  <c r="W295" i="1"/>
  <c r="W117" i="1"/>
  <c r="W125" i="1"/>
  <c r="W155" i="1"/>
  <c r="W143" i="1"/>
  <c r="W141" i="1"/>
  <c r="W171" i="1"/>
  <c r="W193" i="1"/>
  <c r="W186" i="1"/>
  <c r="W173" i="1"/>
  <c r="W136" i="1"/>
  <c r="W124" i="1"/>
  <c r="W121" i="1"/>
  <c r="W116" i="1"/>
  <c r="W176" i="1"/>
  <c r="W168" i="1"/>
  <c r="W137" i="1"/>
  <c r="W162" i="1"/>
  <c r="W114" i="1"/>
  <c r="W129" i="1"/>
  <c r="W130" i="1"/>
  <c r="W180" i="1"/>
  <c r="W187" i="1"/>
  <c r="W150" i="1"/>
  <c r="W178" i="1"/>
  <c r="W183" i="1"/>
  <c r="W194" i="1"/>
  <c r="W192" i="1"/>
  <c r="W172" i="1"/>
  <c r="W181" i="1"/>
  <c r="W191" i="1"/>
  <c r="W174" i="1"/>
  <c r="W179" i="1"/>
  <c r="W182" i="1"/>
  <c r="W177" i="1"/>
  <c r="W175" i="1"/>
  <c r="W184" i="1"/>
  <c r="W146" i="1"/>
  <c r="W139" i="1"/>
  <c r="W153" i="1"/>
  <c r="W157" i="1"/>
  <c r="W152" i="1"/>
  <c r="W156" i="1"/>
  <c r="W158" i="1"/>
  <c r="W159" i="1"/>
  <c r="W147" i="1"/>
  <c r="W144" i="1"/>
  <c r="W148" i="1"/>
  <c r="W163" i="1"/>
  <c r="W135" i="1"/>
  <c r="W154" i="1"/>
  <c r="W142" i="1"/>
  <c r="W145" i="1"/>
  <c r="W161" i="1"/>
  <c r="W138" i="1"/>
  <c r="W151" i="1"/>
  <c r="W160" i="1"/>
  <c r="W149" i="1"/>
  <c r="W118" i="1"/>
  <c r="W113" i="1"/>
  <c r="W123" i="1"/>
  <c r="W112" i="1"/>
  <c r="W122" i="1"/>
  <c r="W58" i="1"/>
</calcChain>
</file>

<file path=xl/sharedStrings.xml><?xml version="1.0" encoding="utf-8"?>
<sst xmlns="http://schemas.openxmlformats.org/spreadsheetml/2006/main" count="1010" uniqueCount="254">
  <si>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</si>
  <si>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</si>
  <si>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</si>
  <si>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</si>
  <si>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</si>
  <si>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</si>
  <si>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</si>
  <si>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</si>
  <si>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</si>
  <si>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</si>
  <si>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</si>
  <si>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</si>
  <si>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</si>
  <si>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</si>
  <si>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</si>
  <si>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Position</t>
  </si>
  <si>
    <t>Points</t>
  </si>
  <si>
    <t>Rider/Class</t>
  </si>
  <si>
    <t>Expert</t>
  </si>
  <si>
    <t>January</t>
  </si>
  <si>
    <t>June</t>
  </si>
  <si>
    <t>July</t>
  </si>
  <si>
    <t>September</t>
  </si>
  <si>
    <t>November</t>
  </si>
  <si>
    <t>December</t>
  </si>
  <si>
    <t>Bexleyheath</t>
  </si>
  <si>
    <t>Owls</t>
  </si>
  <si>
    <t>Erith</t>
  </si>
  <si>
    <t>Kent+Sussex</t>
  </si>
  <si>
    <t>Sidcup</t>
  </si>
  <si>
    <t>Gravesend</t>
  </si>
  <si>
    <t>Total</t>
  </si>
  <si>
    <t>Expert B</t>
  </si>
  <si>
    <t>Intermediate</t>
  </si>
  <si>
    <t>Inter B</t>
  </si>
  <si>
    <t>Over 40 Inter</t>
  </si>
  <si>
    <t>Novice</t>
  </si>
  <si>
    <t>Over 50 Novice</t>
  </si>
  <si>
    <t>Youth Inter</t>
  </si>
  <si>
    <t>Youth Novice</t>
  </si>
  <si>
    <t>Youth Sportsman</t>
  </si>
  <si>
    <t>Double 5</t>
  </si>
  <si>
    <t>Number of point scoring rounds</t>
  </si>
  <si>
    <t>Published by Liam Seamer</t>
  </si>
  <si>
    <t>Scoring System</t>
  </si>
  <si>
    <t>Youth Expert</t>
  </si>
  <si>
    <t>Sportsperson Route</t>
  </si>
  <si>
    <t>P67/Twinshock Red</t>
  </si>
  <si>
    <t>P67/Twinshock Blue</t>
  </si>
  <si>
    <t>Youth Expert B</t>
  </si>
  <si>
    <t>Youth Inter B</t>
  </si>
  <si>
    <t>Wickham</t>
  </si>
  <si>
    <t>August</t>
  </si>
  <si>
    <t>Gary Roberts</t>
  </si>
  <si>
    <t>Michael Hollyer</t>
  </si>
  <si>
    <t>James Coker</t>
  </si>
  <si>
    <t>Paul Robey</t>
  </si>
  <si>
    <t>Lee Brocklehurst</t>
  </si>
  <si>
    <t>Mark Robinson</t>
  </si>
  <si>
    <t>Hector Kemp</t>
  </si>
  <si>
    <t>Willow Kemp</t>
  </si>
  <si>
    <t>Observed? Y or N</t>
  </si>
  <si>
    <t>Best 8 Rounds including penalty</t>
  </si>
  <si>
    <t>N</t>
  </si>
  <si>
    <t>Penalty Applied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</si>
  <si>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</si>
  <si>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</si>
  <si>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</si>
  <si>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</si>
  <si>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</si>
  <si>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</si>
  <si>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</si>
  <si>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</si>
  <si>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</si>
  <si>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</si>
  <si>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</si>
  <si>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</si>
  <si>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Tom Kemp</t>
  </si>
  <si>
    <t>Alex Davies</t>
  </si>
  <si>
    <t>David Kent</t>
  </si>
  <si>
    <t>Rowan Dean</t>
  </si>
  <si>
    <t>Lilly Wright</t>
  </si>
  <si>
    <t>Graham Knowler</t>
  </si>
  <si>
    <t>David Strank</t>
  </si>
  <si>
    <t>Barham</t>
  </si>
  <si>
    <t>Ashford</t>
  </si>
  <si>
    <t>Tenterden</t>
  </si>
  <si>
    <t>Sittingbourne</t>
  </si>
  <si>
    <t>Andy Pierce</t>
  </si>
  <si>
    <t>Jason Clifford</t>
  </si>
  <si>
    <t>Richard Lewis</t>
  </si>
  <si>
    <t>Club</t>
  </si>
  <si>
    <t>Craig Dean</t>
  </si>
  <si>
    <t>Jack Beck</t>
  </si>
  <si>
    <t>Marcus Wright</t>
  </si>
  <si>
    <t>Chris Anderson</t>
  </si>
  <si>
    <t>Mark Teal</t>
  </si>
  <si>
    <t>Kent Youth</t>
  </si>
  <si>
    <t>Scott Wilson</t>
  </si>
  <si>
    <t>James Brooker</t>
  </si>
  <si>
    <t>Jamie Clarke</t>
  </si>
  <si>
    <t>John-Paul Scott</t>
  </si>
  <si>
    <t>Edward Mowat</t>
  </si>
  <si>
    <t>Sam Kent</t>
  </si>
  <si>
    <t>Jack Little</t>
  </si>
  <si>
    <t>October 13th</t>
  </si>
  <si>
    <t>Graham Thomas</t>
  </si>
  <si>
    <t>Martin Jarvis</t>
  </si>
  <si>
    <t>Alfie Scott</t>
  </si>
  <si>
    <t>2025 KTC Aggregate</t>
  </si>
  <si>
    <t>March</t>
  </si>
  <si>
    <t>April</t>
  </si>
  <si>
    <t>May R1</t>
  </si>
  <si>
    <t>May R2</t>
  </si>
  <si>
    <t>Sittingnourne</t>
  </si>
  <si>
    <t>Ashley Newbury</t>
  </si>
  <si>
    <t>Jordan Bailey</t>
  </si>
  <si>
    <t>Hadley Parfitt</t>
  </si>
  <si>
    <t>Matthew Strank</t>
  </si>
  <si>
    <t>Joe Butcher</t>
  </si>
  <si>
    <t>Phillip Stewart</t>
  </si>
  <si>
    <t>Alan Woods</t>
  </si>
  <si>
    <t>Matthew Hann</t>
  </si>
  <si>
    <t>George Hann</t>
  </si>
  <si>
    <t>Jayden Atkins</t>
  </si>
  <si>
    <t>Celeste Phipps</t>
  </si>
  <si>
    <t>Doug Mummery</t>
  </si>
  <si>
    <t>Elite</t>
  </si>
  <si>
    <t>Jack Stiles</t>
  </si>
  <si>
    <t>Robert Stevenson</t>
  </si>
  <si>
    <t>Tom Norris</t>
  </si>
  <si>
    <t>George Chilman</t>
  </si>
  <si>
    <t>Kayden-James Hart</t>
  </si>
  <si>
    <t>Oliver Wakeman</t>
  </si>
  <si>
    <t>Aaron Seamer</t>
  </si>
  <si>
    <t>Max Whorlow</t>
  </si>
  <si>
    <t>Ian Coulter</t>
  </si>
  <si>
    <t>Oliver Keam</t>
  </si>
  <si>
    <t>Martin Stevens</t>
  </si>
  <si>
    <t>Michael Stiles</t>
  </si>
  <si>
    <t>Kevin Morphett</t>
  </si>
  <si>
    <t>Robin Whorlow</t>
  </si>
  <si>
    <t>Russell Hart</t>
  </si>
  <si>
    <t>Harry Whorlow</t>
  </si>
  <si>
    <t>Dave Little</t>
  </si>
  <si>
    <t>Neil Houckham</t>
  </si>
  <si>
    <t>Alexandra Head</t>
  </si>
  <si>
    <t>Darren Mowat</t>
  </si>
  <si>
    <t>Nicola Clarke</t>
  </si>
  <si>
    <t>John Bird</t>
  </si>
  <si>
    <t>K&amp;S</t>
  </si>
  <si>
    <t>Neil Sinden</t>
  </si>
  <si>
    <t>Derek Baker</t>
  </si>
  <si>
    <t>Dave Griffiths</t>
  </si>
  <si>
    <t>Alan Coulter</t>
  </si>
  <si>
    <t>Gavin Horley</t>
  </si>
  <si>
    <t>Gareth Clare</t>
  </si>
  <si>
    <t>Neil Spencer</t>
  </si>
  <si>
    <t>Will Barden</t>
  </si>
  <si>
    <t>Paul Edwards</t>
  </si>
  <si>
    <t>Philip Roger</t>
  </si>
  <si>
    <t>Ken Cross</t>
  </si>
  <si>
    <t>James Oppen</t>
  </si>
  <si>
    <t>Tim Taylor</t>
  </si>
  <si>
    <t>Neal Isborne</t>
  </si>
  <si>
    <t>Robert Snelgrove</t>
  </si>
  <si>
    <t>Ronny Taylor</t>
  </si>
  <si>
    <t>James Bryant</t>
  </si>
  <si>
    <t>Marc Taylor</t>
  </si>
  <si>
    <t>Doug Norris</t>
  </si>
  <si>
    <t>Mason Meadows</t>
  </si>
  <si>
    <t>Liam Seamer</t>
  </si>
  <si>
    <t>Jon Allen</t>
  </si>
  <si>
    <t>Richard Brush</t>
  </si>
  <si>
    <t>Shaun Wallis</t>
  </si>
  <si>
    <t>Robert Smith</t>
  </si>
  <si>
    <t>Andrew Pierce</t>
  </si>
  <si>
    <t>Graham Bayliss</t>
  </si>
  <si>
    <t>Trevor Town</t>
  </si>
  <si>
    <t>Henry Lingham</t>
  </si>
  <si>
    <t>Harry Dennis</t>
  </si>
  <si>
    <t>Louie Wickens</t>
  </si>
  <si>
    <t>Joshua Griffin</t>
  </si>
  <si>
    <t>Olivia Hann</t>
  </si>
  <si>
    <t>Mark Reason</t>
  </si>
  <si>
    <t>Thorne Smith</t>
  </si>
  <si>
    <t>Alan Brown</t>
  </si>
  <si>
    <t>J Hutton</t>
  </si>
  <si>
    <t>Mark Baker</t>
  </si>
  <si>
    <t>Kent &amp; Sussex</t>
  </si>
  <si>
    <t>Robbie Nutbrown</t>
  </si>
  <si>
    <t>Michael Nutbrown</t>
  </si>
  <si>
    <t>Douglas Mummery</t>
  </si>
  <si>
    <t>Allan Lown</t>
  </si>
  <si>
    <t>Roy Purvis</t>
  </si>
  <si>
    <t>David Brooker</t>
  </si>
  <si>
    <t>Kevin Crook</t>
  </si>
  <si>
    <t>Dean Heathfield</t>
  </si>
  <si>
    <t>Flynn Joyce</t>
  </si>
  <si>
    <t>Greg Harris</t>
  </si>
  <si>
    <t>David Garner</t>
  </si>
  <si>
    <t>Dan Isard</t>
  </si>
  <si>
    <t>Warren Eves</t>
  </si>
  <si>
    <t>Ely Fletcher</t>
  </si>
  <si>
    <t>James Hutton</t>
  </si>
  <si>
    <t>Nathan Blake</t>
  </si>
  <si>
    <t>Tristan Phipps</t>
  </si>
  <si>
    <t>Oliver Silvester</t>
  </si>
  <si>
    <t>Max Isard</t>
  </si>
  <si>
    <t>Enzo Allfrey</t>
  </si>
  <si>
    <t>Brinley Jones</t>
  </si>
  <si>
    <t>Winnie Ely</t>
  </si>
  <si>
    <t>Dave Heather</t>
  </si>
  <si>
    <t>Thomas Bartrum</t>
  </si>
  <si>
    <t>Richard Johnson</t>
  </si>
  <si>
    <t>Adam King</t>
  </si>
  <si>
    <t>Alan Clarke</t>
  </si>
  <si>
    <t>Antony Booth</t>
  </si>
  <si>
    <t>Cody Isard</t>
  </si>
  <si>
    <t>Freddie Laughton</t>
  </si>
  <si>
    <t>Y</t>
  </si>
  <si>
    <t>Mathew mcVarney</t>
  </si>
  <si>
    <t>Ian Pape</t>
  </si>
  <si>
    <t>Philip Stewart</t>
  </si>
  <si>
    <t>David Griffiths</t>
  </si>
  <si>
    <t>Freddie Stephens</t>
  </si>
  <si>
    <t>Sophia McVarney</t>
  </si>
  <si>
    <t>Harley Stephens</t>
  </si>
  <si>
    <t>Samual Kent</t>
  </si>
  <si>
    <t>Alex Minney</t>
  </si>
  <si>
    <t>Kevin Gleadow</t>
  </si>
  <si>
    <t>Kent and Sussex</t>
  </si>
  <si>
    <t>Eddie Armstrong</t>
  </si>
  <si>
    <t>Joe Munday</t>
  </si>
  <si>
    <t>Ethan Munday</t>
  </si>
  <si>
    <t>Ethan Dowland</t>
  </si>
  <si>
    <t>Frankie Ely</t>
  </si>
  <si>
    <t>Oliver Whorlow</t>
  </si>
  <si>
    <t>Jack Taylor</t>
  </si>
  <si>
    <t>Will King</t>
  </si>
  <si>
    <t>Gary Wells</t>
  </si>
  <si>
    <t>Ross Smith</t>
  </si>
  <si>
    <t>Andy Ely</t>
  </si>
  <si>
    <t>Nigel Frankling</t>
  </si>
  <si>
    <t>Adam Marshall</t>
  </si>
  <si>
    <t>Cheryl Matton</t>
  </si>
  <si>
    <t>Dave Blanchard</t>
  </si>
  <si>
    <t>Daniel Wakeman</t>
  </si>
  <si>
    <t>Stephen Smith</t>
  </si>
  <si>
    <t>Daysie Aulsberry</t>
  </si>
  <si>
    <t>Fin Penny</t>
  </si>
  <si>
    <t>Lily Wright</t>
  </si>
  <si>
    <t>Jacob Lucas</t>
  </si>
  <si>
    <t>Oscar Strank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</si>
</sst>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Eras Bold ITC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rgb="FF221E1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11"/>
      <color theme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71004B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71004B"/>
      </bottom>
      <diagonal/>
    </border>
    <border>
      <left/>
      <right/>
      <top/>
      <bottom style="thick">
        <color rgb="FF71004B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2" borderId="1" xfId="0" applyFill="1" applyBorder="1" applyAlignment="1">
      <alignment textRotation="90"/>
    </xf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0" fillId="0" borderId="9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15" xfId="0" applyFill="1" applyBorder="1"/>
    <xf numFmtId="0" fontId="0" fillId="3" borderId="16" xfId="0" applyFill="1" applyBorder="1"/>
    <xf numFmtId="0" fontId="0" fillId="3" borderId="19" xfId="0" applyFill="1" applyBorder="1"/>
    <xf numFmtId="0" fontId="0" fillId="0" borderId="19" xfId="0" applyBorder="1"/>
    <xf numFmtId="0" fontId="0" fillId="0" borderId="22" xfId="0" applyBorder="1"/>
    <xf numFmtId="0" fontId="0" fillId="0" borderId="21" xfId="0" applyBorder="1"/>
    <xf numFmtId="0" fontId="0" fillId="3" borderId="25" xfId="0" applyFill="1" applyBorder="1"/>
    <xf numFmtId="0" fontId="0" fillId="0" borderId="25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6" xfId="0" applyBorder="1"/>
    <xf numFmtId="0" fontId="0" fillId="3" borderId="0" xfId="0" applyFill="1"/>
    <xf numFmtId="0" fontId="0" fillId="2" borderId="6" xfId="0" applyFill="1" applyBorder="1" applyAlignment="1">
      <alignment textRotation="90"/>
    </xf>
    <xf numFmtId="0" fontId="0" fillId="0" borderId="6" xfId="0" applyBorder="1" applyAlignment="1">
      <alignment textRotation="90"/>
    </xf>
    <xf numFmtId="0" fontId="4" fillId="0" borderId="2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13" xfId="0" applyBorder="1"/>
    <xf numFmtId="0" fontId="1" fillId="0" borderId="4" xfId="0" applyFont="1" applyBorder="1"/>
    <xf numFmtId="0" fontId="0" fillId="0" borderId="3" xfId="0" applyBorder="1"/>
    <xf numFmtId="0" fontId="0" fillId="4" borderId="0" xfId="0" applyFill="1"/>
    <xf numFmtId="0" fontId="6" fillId="0" borderId="12" xfId="0" applyFont="1" applyBorder="1"/>
    <xf numFmtId="0" fontId="6" fillId="0" borderId="0" xfId="0" applyFont="1"/>
    <xf numFmtId="0" fontId="6" fillId="0" borderId="6" xfId="0" applyFont="1" applyBorder="1"/>
    <xf numFmtId="0" fontId="6" fillId="0" borderId="5" xfId="0" applyFont="1" applyBorder="1"/>
    <xf numFmtId="0" fontId="0" fillId="4" borderId="6" xfId="0" applyFill="1" applyBorder="1"/>
    <xf numFmtId="0" fontId="0" fillId="4" borderId="5" xfId="0" applyFill="1" applyBorder="1"/>
    <xf numFmtId="0" fontId="6" fillId="0" borderId="11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10" xfId="0" applyFont="1" applyBorder="1"/>
    <xf numFmtId="0" fontId="0" fillId="4" borderId="12" xfId="0" applyFill="1" applyBorder="1"/>
    <xf numFmtId="0" fontId="7" fillId="0" borderId="12" xfId="0" applyFont="1" applyBorder="1"/>
    <xf numFmtId="0" fontId="0" fillId="5" borderId="1" xfId="0" applyFill="1" applyBorder="1" applyAlignment="1">
      <alignment textRotation="90"/>
    </xf>
    <xf numFmtId="0" fontId="0" fillId="5" borderId="6" xfId="0" applyFill="1" applyBorder="1" applyAlignment="1">
      <alignment textRotation="90"/>
    </xf>
    <xf numFmtId="0" fontId="7" fillId="0" borderId="6" xfId="0" applyFont="1" applyBorder="1"/>
    <xf numFmtId="0" fontId="0" fillId="6" borderId="1" xfId="0" applyFill="1" applyBorder="1" applyAlignment="1">
      <alignment textRotation="90"/>
    </xf>
    <xf numFmtId="0" fontId="1" fillId="6" borderId="4" xfId="0" applyFont="1" applyFill="1" applyBorder="1"/>
    <xf numFmtId="0" fontId="0" fillId="6" borderId="13" xfId="0" applyFill="1" applyBorder="1" applyAlignment="1">
      <alignment horizontal="center"/>
    </xf>
    <xf numFmtId="0" fontId="0" fillId="0" borderId="28" xfId="0" applyBorder="1"/>
    <xf numFmtId="0" fontId="7" fillId="4" borderId="6" xfId="0" applyFont="1" applyFill="1" applyBorder="1"/>
    <xf numFmtId="0" fontId="0" fillId="0" borderId="0" xfId="0" applyAlignment="1">
      <alignment horizontal="center"/>
    </xf>
    <xf numFmtId="0" fontId="1" fillId="0" borderId="0" xfId="0" applyFont="1"/>
    <xf numFmtId="0" fontId="0" fillId="0" borderId="13" xfId="0" applyBorder="1" applyAlignment="1">
      <alignment horizontal="right"/>
    </xf>
    <xf numFmtId="0" fontId="6" fillId="0" borderId="28" xfId="0" applyFont="1" applyBorder="1"/>
    <xf numFmtId="0" fontId="8" fillId="6" borderId="4" xfId="0" applyFont="1" applyFill="1" applyBorder="1"/>
    <xf numFmtId="0" fontId="8" fillId="6" borderId="13" xfId="0" applyFont="1" applyFill="1" applyBorder="1"/>
    <xf numFmtId="0" fontId="8" fillId="6" borderId="1" xfId="0" applyFont="1" applyFill="1" applyBorder="1"/>
    <xf numFmtId="0" fontId="8" fillId="6" borderId="6" xfId="0" applyFont="1" applyFill="1" applyBorder="1" applyAlignment="1">
      <alignment textRotation="90"/>
    </xf>
    <xf numFmtId="0" fontId="8" fillId="6" borderId="9" xfId="0" applyFont="1" applyFill="1" applyBorder="1"/>
    <xf numFmtId="0" fontId="8" fillId="6" borderId="8" xfId="0" applyFont="1" applyFill="1" applyBorder="1"/>
    <xf numFmtId="0" fontId="8" fillId="6" borderId="14" xfId="0" applyFont="1" applyFill="1" applyBorder="1"/>
    <xf numFmtId="0" fontId="8" fillId="6" borderId="5" xfId="0" applyFont="1" applyFill="1" applyBorder="1" applyAlignment="1">
      <alignment textRotation="90"/>
    </xf>
    <xf numFmtId="0" fontId="0" fillId="0" borderId="14" xfId="0" applyBorder="1"/>
    <xf numFmtId="0" fontId="1" fillId="0" borderId="9" xfId="0" applyFont="1" applyBorder="1"/>
    <xf numFmtId="0" fontId="0" fillId="0" borderId="5" xfId="0" applyBorder="1" applyAlignment="1">
      <alignment textRotation="90"/>
    </xf>
    <xf numFmtId="0" fontId="6" fillId="0" borderId="0" xfId="0" applyFont="1" applyAlignment="1">
      <alignment horizontal="right"/>
    </xf>
    <xf numFmtId="0" fontId="6" fillId="0" borderId="12" xfId="0" applyFont="1" applyBorder="1" applyAlignment="1">
      <alignment horizontal="right"/>
    </xf>
    <xf numFmtId="0" fontId="9" fillId="0" borderId="6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8" xfId="0" applyFont="1" applyBorder="1"/>
    <xf numFmtId="0" fontId="7" fillId="0" borderId="0" xfId="0" applyFont="1"/>
    <xf numFmtId="0" fontId="0" fillId="0" borderId="13" xfId="0" applyBorder="1" applyAlignment="1">
      <alignment textRotation="90"/>
    </xf>
    <xf numFmtId="0" fontId="0" fillId="0" borderId="2" xfId="0" applyBorder="1" applyAlignment="1">
      <alignment textRotation="90"/>
    </xf>
    <xf numFmtId="0" fontId="0" fillId="7" borderId="7" xfId="0" applyFill="1" applyBorder="1" applyAlignment="1">
      <alignment textRotation="90"/>
    </xf>
    <xf numFmtId="0" fontId="0" fillId="7" borderId="13" xfId="0" applyFill="1" applyBorder="1" applyAlignment="1">
      <alignment textRotation="90"/>
    </xf>
    <xf numFmtId="0" fontId="0" fillId="7" borderId="2" xfId="0" applyFill="1" applyBorder="1" applyAlignment="1">
      <alignment textRotation="90"/>
    </xf>
    <xf numFmtId="0" fontId="0" fillId="7" borderId="1" xfId="0" applyFill="1" applyBorder="1" applyAlignment="1">
      <alignment textRotation="90"/>
    </xf>
    <xf numFmtId="0" fontId="0" fillId="0" borderId="7" xfId="0" applyBorder="1" applyAlignment="1">
      <alignment textRotation="90"/>
    </xf>
    <xf numFmtId="0" fontId="6" fillId="0" borderId="11" xfId="0" applyFont="1" applyBorder="1" applyAlignment="1">
      <alignment horizontal="right"/>
    </xf>
    <xf numFmtId="0" fontId="11" fillId="8" borderId="0" xfId="0" applyFont="1" applyFill="1" applyAlignment="1">
      <alignment vertical="center" wrapText="1"/>
    </xf>
    <xf numFmtId="0" fontId="11" fillId="8" borderId="29" xfId="0" applyFont="1" applyFill="1" applyBorder="1" applyAlignment="1">
      <alignment vertical="center" wrapText="1"/>
    </xf>
    <xf numFmtId="0" fontId="10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17" fontId="0" fillId="0" borderId="0" xfId="0" applyNumberFormat="1" applyAlignment="1">
      <alignment textRotation="90"/>
    </xf>
    <xf numFmtId="0" fontId="9" fillId="0" borderId="12" xfId="0" applyFont="1" applyBorder="1"/>
    <xf numFmtId="0" fontId="9" fillId="0" borderId="0" xfId="0" applyFont="1"/>
    <xf numFmtId="0" fontId="9" fillId="0" borderId="1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4" xfId="0" applyFont="1" applyBorder="1"/>
    <xf numFmtId="0" fontId="9" fillId="0" borderId="9" xfId="0" applyFont="1" applyBorder="1"/>
    <xf numFmtId="0" fontId="13" fillId="0" borderId="12" xfId="0" applyFont="1" applyBorder="1"/>
    <xf numFmtId="0" fontId="13" fillId="0" borderId="6" xfId="0" applyFont="1" applyBorder="1"/>
    <xf numFmtId="0" fontId="13" fillId="0" borderId="0" xfId="0" applyFont="1"/>
    <xf numFmtId="0" fontId="13" fillId="0" borderId="8" xfId="0" applyFont="1" applyBorder="1"/>
    <xf numFmtId="0" fontId="13" fillId="0" borderId="5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8" borderId="0" xfId="0" applyFont="1" applyFill="1" applyAlignment="1">
      <alignment horizontal="center" vertical="center"/>
    </xf>
    <xf numFmtId="0" fontId="10" fillId="8" borderId="29" xfId="0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0" fontId="9" fillId="0" borderId="0" xfId="0" applyFont="1" applyBorder="1"/>
    <xf numFmtId="0" fontId="6" fillId="0" borderId="0" xfId="0" applyFont="1" applyBorder="1" applyAlignment="1">
      <alignment horizontal="right"/>
    </xf>
    <xf numFmtId="0" fontId="0" fillId="0" borderId="12" xfId="0" applyFill="1" applyBorder="1"/>
    <xf numFmtId="0" fontId="0" fillId="0" borderId="0" xfId="0" applyFill="1"/>
    <xf numFmtId="0" fontId="0" fillId="0" borderId="6" xfId="0" applyFill="1" applyBorder="1"/>
    <xf numFmtId="0" fontId="7" fillId="0" borderId="6" xfId="0" applyFont="1" applyFill="1" applyBorder="1"/>
    <xf numFmtId="0" fontId="0" fillId="4" borderId="7" xfId="0" applyFill="1" applyBorder="1"/>
    <xf numFmtId="0" fontId="9" fillId="0" borderId="12" xfId="0" applyFont="1" applyFill="1" applyBorder="1"/>
    <xf numFmtId="0" fontId="9" fillId="0" borderId="0" xfId="0" applyFont="1" applyFill="1"/>
    <xf numFmtId="0" fontId="8" fillId="6" borderId="1" xfId="0" applyFont="1" applyFill="1" applyBorder="1" applyAlignment="1">
      <alignment textRotation="90"/>
    </xf>
    <xf numFmtId="0" fontId="8" fillId="6" borderId="1" xfId="0" applyFont="1" applyFill="1" applyBorder="1" applyAlignment="1">
      <alignment textRotation="90" wrapText="1"/>
    </xf>
    <xf numFmtId="0" fontId="7" fillId="0" borderId="7" xfId="0" applyFont="1" applyBorder="1"/>
    <xf numFmtId="0" fontId="7" fillId="0" borderId="0" xfId="0" applyFont="1" applyBorder="1"/>
    <xf numFmtId="0" fontId="7" fillId="0" borderId="14" xfId="0" applyFont="1" applyBorder="1"/>
    <xf numFmtId="0" fontId="7" fillId="0" borderId="9" xfId="0" applyFont="1" applyBorder="1"/>
  </cellXfs>
  <cellStyles count="1">
    <cellStyle name="Normal" xfId="0" builtinId="0"/>
  </cellStyles>
  <dxfs count="444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vertical/>
      </border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left style="medium">
          <color indexed="64"/>
        </left>
        <right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>
          <fgColor indexed="64"/>
          <bgColor rgb="FFFF0000"/>
        </patternFill>
      </fill>
      <border outline="0">
        <right style="medium">
          <color indexed="64"/>
        </right>
      </border>
    </dxf>
    <dxf>
      <numFmt numFmtId="0" formatCode="General"/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rgb="FFFF00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rgb="FFFF00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top/>
        <bottom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outline="0">
        <right style="medium">
          <color indexed="64"/>
        </right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>
        <right style="medium">
          <color indexed="64"/>
        </right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left style="medium">
          <color indexed="64"/>
        </left>
        <right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1B87BF-4FCF-4B58-B380-26829C579A6B}" name="Table1" displayName="Table1" ref="E17:X34" headerRowDxfId="443" dataDxfId="442" tableBorderDxfId="441">
  <autoFilter ref="E17:X34" xr:uid="{111B87BF-4FCF-4B58-B380-26829C579A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8:X34">
    <sortCondition descending="1" ref="W18:W34"/>
  </sortState>
  <tableColumns count="20">
    <tableColumn id="20" xr3:uid="{A503E070-3750-4831-93A5-69E4E9E52806}" name="Expert" dataDxfId="440" totalsRowDxfId="439"/>
    <tableColumn id="1" xr3:uid="{E9C305B5-08AE-4AEB-A0D1-790741AD6C83}" name="Club" totalsRowLabel="Total" dataDxfId="438" totalsRowDxfId="437"/>
    <tableColumn id="2" xr3:uid="{22CEBFE2-DDD0-479F-B98E-772F6E364E25}" name="1" dataDxfId="436" totalsRowDxfId="435"/>
    <tableColumn id="3" xr3:uid="{F7235FFC-694A-4C07-80AC-DE53A49F1F8D}" name="2" dataDxfId="434" totalsRowDxfId="433"/>
    <tableColumn id="4" xr3:uid="{56D22852-7EEE-4C41-BB1B-687F032D87DD}" name="3" dataDxfId="432" totalsRowDxfId="431"/>
    <tableColumn id="5" xr3:uid="{2463C2F6-F591-48C4-B77F-C6570BFE24D0}" name="4" dataDxfId="430" totalsRowDxfId="429"/>
    <tableColumn id="6" xr3:uid="{05C84317-0774-43D6-BB5B-D74F9FB410B7}" name="5" dataDxfId="428" totalsRowDxfId="427"/>
    <tableColumn id="7" xr3:uid="{8833EDD4-0CEC-42FC-A7B2-FABDF446AFBA}" name="6" dataDxfId="426" totalsRowDxfId="425"/>
    <tableColumn id="8" xr3:uid="{A94F609B-23DD-4B79-92C7-F0C6BDD423B7}" name="7" dataDxfId="424" totalsRowDxfId="423"/>
    <tableColumn id="9" xr3:uid="{53671E7B-C39C-4276-86BE-44697AF1FD89}" name="8" dataDxfId="422" totalsRowDxfId="421"/>
    <tableColumn id="10" xr3:uid="{57D2B475-FF23-4020-920E-21EC4515A04E}" name="9" dataDxfId="420" totalsRowDxfId="419"/>
    <tableColumn id="11" xr3:uid="{A8BE424D-FDF1-4CDD-9415-356866423485}" name="10" dataDxfId="418" totalsRowDxfId="417"/>
    <tableColumn id="12" xr3:uid="{4910178E-51DC-441E-B9F4-DBC57899C6AC}" name="11" dataDxfId="416" totalsRowDxfId="415"/>
    <tableColumn id="13" xr3:uid="{027941FB-8C95-40CA-8E01-1F32E5FFB479}" name="12" dataDxfId="414" totalsRowDxfId="413"/>
    <tableColumn id="14" xr3:uid="{0B2FB98B-90E3-438D-8694-3A9D9D6A148C}" name="Total" dataDxfId="412" totalsRowDxfId="411">
      <calculatedColumnFormula>SUM(G18:R18)</calculatedColumnFormula>
    </tableColumn>
    <tableColumn id="15" xr3:uid="{05000E9D-0ABD-4F74-9236-D57CB998696D}" name="Number of point scoring rounds" dataDxfId="410" totalsRowDxfId="409">
      <calculatedColumnFormula>COUNTIF(G18:R18,"&gt;1")</calculatedColumnFormula>
    </tableColumn>
    <tableColumn id="16" xr3:uid="{26458221-87EA-4762-BD8D-32CA1EA740F0}" name="Observed? Y or N" dataDxfId="408" totalsRowDxfId="407"/>
    <tableColumn id="17" xr3:uid="{4001F6B1-364E-4817-A724-7CB52D426489}" name="Penalty Applied" totalsRowFunction="count" dataDxfId="406" totalsRowDxfId="405">
      <calculatedColumnFormula>IF(Table1[[#This Row],[Observed? Y or N]]="N", "-20", "0")</calculatedColumnFormula>
    </tableColumn>
    <tableColumn id="18" xr3:uid="{BF2D3F39-4823-4D7E-8178-C4BAA97562F8}" name="Best 8 Rounds including penalty" dataDxfId="404">
      <calculatedColumnFormula>Table1[[#This Row],[Total]]+Table1[[#This Row],[Penalty Applied]]-Table1[[#This Row],[1]]</calculatedColumnFormula>
    </tableColumn>
    <tableColumn id="19" xr3:uid="{8F339912-2E7C-4B90-B04A-85581401357D}" name="Position" dataDxfId="403" totalsRowDxfId="40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C7ABCF-8089-4115-94E3-3B0B2C18DFF2}" name="Table11" displayName="Table11" ref="E235:V239" totalsRowShown="0" headerRowDxfId="222" tableBorderDxfId="221">
  <autoFilter ref="E235:V239" xr:uid="{ABC7ABCF-8089-4115-94E3-3B0B2C18DFF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xmlns:xlrd2="http://schemas.microsoft.com/office/spreadsheetml/2017/richdata2" ref="E236:V239">
    <sortCondition descending="1" ref="U236:U239"/>
  </sortState>
  <tableColumns count="18">
    <tableColumn id="16" xr3:uid="{953E9ADB-6E28-4284-97C9-26FD4C2BAC7B}" name="Youth Expert" dataDxfId="220"/>
    <tableColumn id="1" xr3:uid="{1C9AC0DB-BFA3-46A9-8F46-2A4943A0A640}" name="Club" dataDxfId="219"/>
    <tableColumn id="2" xr3:uid="{0C988B77-EBDF-40FC-A5E7-2F09F15496FC}" name="1" dataDxfId="218"/>
    <tableColumn id="3" xr3:uid="{195B8462-F1BB-4333-909B-264402BFAF00}" name="2" dataDxfId="217"/>
    <tableColumn id="4" xr3:uid="{B549ADDD-8E5C-47AE-9CC5-0EEE17A95C5A}" name="3" dataDxfId="216"/>
    <tableColumn id="5" xr3:uid="{9832C2ED-3293-4B57-B007-5D88D462EC01}" name="4" dataDxfId="215"/>
    <tableColumn id="6" xr3:uid="{0818DC46-2F64-4F33-ACD3-28B1DC18CDBC}" name="5" dataDxfId="214"/>
    <tableColumn id="7" xr3:uid="{406C706F-4B21-484C-94CA-759A696CBC16}" name="6" dataDxfId="213"/>
    <tableColumn id="8" xr3:uid="{78AE1D3D-705C-4BFB-BD7C-A0E049185CED}" name="7" dataDxfId="212"/>
    <tableColumn id="9" xr3:uid="{F1551919-733F-47E7-9492-E3816688090F}" name="8" dataDxfId="211"/>
    <tableColumn id="10" xr3:uid="{9773F347-04C2-4927-A811-74FD1215198C}" name="9" dataDxfId="210"/>
    <tableColumn id="11" xr3:uid="{71AA3EAC-0B33-404F-B8F2-A8C986F29999}" name="10" dataDxfId="209"/>
    <tableColumn id="12" xr3:uid="{540685BC-5848-40B7-A9F1-572C19D10A13}" name="11" dataDxfId="208"/>
    <tableColumn id="13" xr3:uid="{718E5F16-90F8-4ED4-9CDA-3A431BE5991A}" name="12" dataDxfId="207"/>
    <tableColumn id="14" xr3:uid="{C400C2C4-B960-409D-BC1B-730186658A5C}" name="Total" dataDxfId="206">
      <calculatedColumnFormula>SUM(Table11[[#This Row],[1]:[12]])</calculatedColumnFormula>
    </tableColumn>
    <tableColumn id="15" xr3:uid="{B2B2E321-8DDE-4051-A42F-432F6F78B1E0}" name="Number of point scoring rounds" dataDxfId="205">
      <calculatedColumnFormula>COUNTIF(G236:R236,"&gt;1")</calculatedColumnFormula>
    </tableColumn>
    <tableColumn id="18" xr3:uid="{5F78A2D8-35B9-4D67-B860-9D9243D17353}" name="Best 8 Rounds including penalty" dataDxfId="204">
      <calculatedColumnFormula>Table11[[#This Row],[Total]]</calculatedColumnFormula>
    </tableColumn>
    <tableColumn id="19" xr3:uid="{8C818462-6665-428D-B5B5-336C8E613F24}" name="Position" dataDxfId="20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0113705-293F-48B7-AC97-A62605B09AB2}" name="Table12" displayName="Table12" ref="E242:V244" headerRowCount="0" totalsRowShown="0" headerRowDxfId="34" tableBorderDxfId="33">
  <sortState xmlns:xlrd2="http://schemas.microsoft.com/office/spreadsheetml/2017/richdata2" ref="E242:V244">
    <sortCondition descending="1" ref="U243:U244"/>
  </sortState>
  <tableColumns count="18">
    <tableColumn id="18" xr3:uid="{EA478C67-37F9-46DD-83EB-F0CBB23C1C95}" name="Column18" headerRowDxfId="32" dataDxfId="31"/>
    <tableColumn id="1" xr3:uid="{D38F644B-7233-49C4-AB86-AC51722A3337}" name="Column1" headerRowDxfId="30"/>
    <tableColumn id="2" xr3:uid="{C895DD47-DB7F-4CE6-8969-93716FE7AE70}" name="Column2" headerRowDxfId="29" dataDxfId="28"/>
    <tableColumn id="3" xr3:uid="{8A226464-A2D6-4064-B697-58B8E96BC8C0}" name="Column3" headerRowDxfId="27" dataDxfId="26"/>
    <tableColumn id="4" xr3:uid="{045E8A83-602B-4761-9F6D-56ACCD292AA9}" name="Column4" headerRowDxfId="25" dataDxfId="24"/>
    <tableColumn id="5" xr3:uid="{57C0884C-8F99-42FE-AA28-3B703A3CEC3C}" name="Column5" headerRowDxfId="23" dataDxfId="22"/>
    <tableColumn id="6" xr3:uid="{A260A447-CB5C-4550-8149-8257517C004C}" name="Column6" headerRowDxfId="21" dataDxfId="20"/>
    <tableColumn id="7" xr3:uid="{8BA742C4-9E50-490E-88F8-D3C51B32BF27}" name="Column7" headerRowDxfId="19" dataDxfId="18"/>
    <tableColumn id="8" xr3:uid="{57AC25BC-9888-4FCD-85E2-FBAE8446D16E}" name="Column8" headerRowDxfId="17" dataDxfId="16"/>
    <tableColumn id="9" xr3:uid="{4287ED04-6CEF-45A1-8FC9-992436710AE7}" name="Column9" headerRowDxfId="15" dataDxfId="14"/>
    <tableColumn id="10" xr3:uid="{F60C7D75-81AB-4269-BB3B-25E1D0BC15C7}" name="Column10" headerRowDxfId="13" dataDxfId="12"/>
    <tableColumn id="11" xr3:uid="{305B2B25-B14E-4D28-8D16-BE55005EBC04}" name="Column11" headerRowDxfId="11" dataDxfId="10"/>
    <tableColumn id="12" xr3:uid="{5731BDCC-C408-4BE2-B91C-4A34F3E0504A}" name="Column12" headerRowDxfId="9" dataDxfId="8"/>
    <tableColumn id="13" xr3:uid="{5E3841E6-60F4-4AC9-8D92-91AF3E93716C}" name="Column13" headerRowDxfId="7" dataDxfId="6"/>
    <tableColumn id="14" xr3:uid="{1F164E09-9D2C-4FF4-A98C-05A70BCB4782}" name="Column14" headerRowDxfId="5">
      <calculatedColumnFormula>SUM(G242:R242)</calculatedColumnFormula>
    </tableColumn>
    <tableColumn id="15" xr3:uid="{601FB169-E7F8-403B-9939-5173D018BE8E}" name="Column15" headerRowDxfId="4">
      <calculatedColumnFormula>COUNTIF(G242:R242,"&gt;1")</calculatedColumnFormula>
    </tableColumn>
    <tableColumn id="16" xr3:uid="{2D4AD102-E012-46AF-B1B8-7E1A12EE6595}" name="Column16" headerRowDxfId="3"/>
    <tableColumn id="17" xr3:uid="{6D9A26DE-DE72-450E-BF84-69026EA29E8A}" name="Column17" headerRowDxfId="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3EF2212-B074-4FA8-9909-872DFC584780}" name="Table13" displayName="Table13" ref="E247:V263" totalsRowShown="0" headerRowDxfId="202" tableBorderDxfId="201">
  <autoFilter ref="E247:V263" xr:uid="{43EF2212-B074-4FA8-9909-872DFC5847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xmlns:xlrd2="http://schemas.microsoft.com/office/spreadsheetml/2017/richdata2" ref="E248:V263">
    <sortCondition descending="1" ref="U248:U263"/>
  </sortState>
  <tableColumns count="18">
    <tableColumn id="16" xr3:uid="{84CB5DC2-9DE1-44E6-8E1F-CC59F4ADAC13}" name="Youth Novice" dataDxfId="200"/>
    <tableColumn id="1" xr3:uid="{F5F699D6-5107-4465-AE72-5475161A91FB}" name="Club"/>
    <tableColumn id="2" xr3:uid="{0A89CDC4-C6A3-4F71-A159-71B5E047DB5C}" name="1" dataDxfId="199"/>
    <tableColumn id="3" xr3:uid="{318FD510-79F3-465A-A0BB-0E48F767853B}" name="2" dataDxfId="198"/>
    <tableColumn id="4" xr3:uid="{34B2B2EC-2770-4CEB-93B9-3B02D9C752EE}" name="3" dataDxfId="197"/>
    <tableColumn id="5" xr3:uid="{8B97A0B6-66FB-4921-8BDF-0AE85DD5E728}" name="4" dataDxfId="196"/>
    <tableColumn id="6" xr3:uid="{F1323DB0-4E95-483A-BB0A-7301951F9ECE}" name="5" dataDxfId="195"/>
    <tableColumn id="7" xr3:uid="{676A34A8-DF99-44E0-8709-8B00EAFD17DA}" name="6" dataDxfId="194"/>
    <tableColumn id="8" xr3:uid="{DDA16CB2-5709-427C-B11A-C7D946CC398D}" name="7" dataDxfId="193"/>
    <tableColumn id="9" xr3:uid="{0A0AAB88-63D0-4C53-B6D2-51BAD209F8D1}" name="8" dataDxfId="192"/>
    <tableColumn id="10" xr3:uid="{AE549C39-A6CD-4912-A210-C9783E23B1E4}" name="9" dataDxfId="191"/>
    <tableColumn id="11" xr3:uid="{D53101DD-0886-4551-9323-77AA323807BF}" name="10" dataDxfId="190"/>
    <tableColumn id="12" xr3:uid="{820C76E7-D9DE-4C3C-AB89-46E39D7058CB}" name="11" dataDxfId="189"/>
    <tableColumn id="13" xr3:uid="{4CD25287-0AEA-4D6F-86E1-65C2A95AEC36}" name="12" dataDxfId="188"/>
    <tableColumn id="14" xr3:uid="{81EF4444-696D-45A7-A3B7-B600250E6713}" name="Total" dataDxfId="187">
      <calculatedColumnFormula>SUM(G248:R248)</calculatedColumnFormula>
    </tableColumn>
    <tableColumn id="15" xr3:uid="{97CCF9D0-6673-4FBB-8017-C096A89AF822}" name="Number of point scoring rounds">
      <calculatedColumnFormula>COUNTIF(G248:R248,"&gt;1")</calculatedColumnFormula>
    </tableColumn>
    <tableColumn id="18" xr3:uid="{469CDB54-D21C-4469-8943-ECC07E321564}" name="Best 8 Rounds including penalty" dataDxfId="186">
      <calculatedColumnFormula>Table13[[#This Row],[Total]]</calculatedColumnFormula>
    </tableColumn>
    <tableColumn id="19" xr3:uid="{0310D515-3F51-484E-A632-3F1DC00A19B1}" name="Position" dataDxfId="18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2BB8509-4ADE-48E3-8A5B-B52BFC3D3344}" name="Table14" displayName="Table14" ref="E265:V284" totalsRowShown="0" headerRowDxfId="184" tableBorderDxfId="183">
  <autoFilter ref="E265:V284" xr:uid="{22BB8509-4ADE-48E3-8A5B-B52BFC3D33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xmlns:xlrd2="http://schemas.microsoft.com/office/spreadsheetml/2017/richdata2" ref="E266:V284">
    <sortCondition descending="1" ref="U266:U284"/>
  </sortState>
  <tableColumns count="18">
    <tableColumn id="16" xr3:uid="{FFBFC2FF-BD48-48F4-89B6-D0DB8EA4310A}" name="Youth Sportsman" dataDxfId="182"/>
    <tableColumn id="1" xr3:uid="{2F0A7C73-CB74-4962-92F7-0DF978AEEDEA}" name="Club" dataDxfId="181"/>
    <tableColumn id="2" xr3:uid="{CFB3C4D8-1891-4EEF-AB3D-C3F270D77EFC}" name="1" dataDxfId="180"/>
    <tableColumn id="3" xr3:uid="{B6693B25-EFB8-49F1-8AD5-8DA70198FE00}" name="2" dataDxfId="179"/>
    <tableColumn id="4" xr3:uid="{61A129AC-7478-4BC5-9465-3C2B07AB96E1}" name="3" dataDxfId="178"/>
    <tableColumn id="5" xr3:uid="{423A82A5-3AB5-4A33-8630-1C6E09B1F7F7}" name="4" dataDxfId="177"/>
    <tableColumn id="6" xr3:uid="{6B7AFC6E-625E-45BA-B499-43B787D0B105}" name="5" dataDxfId="176"/>
    <tableColumn id="7" xr3:uid="{F2E2808F-F21D-4958-AAEF-5586E92910D8}" name="6" dataDxfId="175"/>
    <tableColumn id="8" xr3:uid="{1B7D308D-60F8-4632-AEF5-4A0779BD9EF6}" name="7" dataDxfId="174"/>
    <tableColumn id="9" xr3:uid="{480CD663-ECCB-4540-A50F-63D586C8B015}" name="8" dataDxfId="173"/>
    <tableColumn id="10" xr3:uid="{F24B11B9-1D1D-4B11-8711-782871EBFE7E}" name="9" dataDxfId="172"/>
    <tableColumn id="11" xr3:uid="{71CEDA02-C60D-49CC-8CF0-140D94C1DCDD}" name="10" dataDxfId="171"/>
    <tableColumn id="12" xr3:uid="{7233BA35-A39E-4E40-9EA4-10950E481512}" name="11" dataDxfId="170"/>
    <tableColumn id="13" xr3:uid="{6EAFD82B-7B8C-4D1C-BAD5-34E0BA69D242}" name="12" dataDxfId="169"/>
    <tableColumn id="14" xr3:uid="{5B73CBC8-6DDE-4394-8AA2-9430032B882A}" name="Total" dataDxfId="168">
      <calculatedColumnFormula>SUM(Table14[[#This Row],[1]:[12]])</calculatedColumnFormula>
    </tableColumn>
    <tableColumn id="15" xr3:uid="{DFE5A6EA-8F4A-403F-9298-5C4D74F5B4F5}" name="Number of point scoring rounds" dataDxfId="167">
      <calculatedColumnFormula>COUNTIF(G266:R266,"&gt;1")</calculatedColumnFormula>
    </tableColumn>
    <tableColumn id="18" xr3:uid="{05B49A5B-98B3-4BF6-B046-9A9E8E532E95}" name="Best 8 Rounds including penalty" dataDxfId="166">
      <calculatedColumnFormula>Table14[[#This Row],[Total]]-Table14[[#This Row],[4]]</calculatedColumnFormula>
    </tableColumn>
    <tableColumn id="19" xr3:uid="{FE51CE50-5DD3-413E-9D7C-31132762F94D}" name="Position" dataDxfId="16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92CB30-F0E7-4699-9CDA-CF26DD2B6DE5}" name="Table15" displayName="Table15" ref="E287:X306" totalsRowShown="0" headerRowDxfId="164" dataDxfId="163" tableBorderDxfId="162">
  <autoFilter ref="E287:X306" xr:uid="{2992CB30-F0E7-4699-9CDA-CF26DD2B6D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288:X306">
    <sortCondition descending="1" ref="W288:W306"/>
  </sortState>
  <tableColumns count="20">
    <tableColumn id="20" xr3:uid="{8E7E12EA-F5EC-47DF-B9AD-78030C1A11FC}" name="P67/Twinshock Red" dataDxfId="161"/>
    <tableColumn id="1" xr3:uid="{13393BE1-56A8-4C1E-B88B-DD1C6A064A84}" name="Club" dataDxfId="160"/>
    <tableColumn id="2" xr3:uid="{21612C6A-E920-44CE-AF0F-A634FAA17A91}" name="1" dataDxfId="159"/>
    <tableColumn id="3" xr3:uid="{87EB7B6C-B6E2-47C9-8542-C84F36396950}" name="2" dataDxfId="158"/>
    <tableColumn id="4" xr3:uid="{B40F5398-14A8-4C54-A276-758CA0279022}" name="3" dataDxfId="157"/>
    <tableColumn id="5" xr3:uid="{A92B3580-2BC9-4F23-8156-67D90638EEEC}" name="4" dataDxfId="156"/>
    <tableColumn id="6" xr3:uid="{492339DC-E85E-45D6-A084-06932B54D24C}" name="5" dataDxfId="155"/>
    <tableColumn id="7" xr3:uid="{4727758E-73AF-403D-8DB0-8E02AFEE6FF1}" name="6" dataDxfId="154"/>
    <tableColumn id="8" xr3:uid="{C85C423C-44A1-426F-813C-EC95F848F00E}" name="7" dataDxfId="153"/>
    <tableColumn id="9" xr3:uid="{C960ACFE-7635-40BD-8D73-53A82EB2CEBD}" name="8" dataDxfId="152"/>
    <tableColumn id="10" xr3:uid="{9C2D59C9-E9FE-434D-BD17-04FA130E25EB}" name="9" dataDxfId="151"/>
    <tableColumn id="11" xr3:uid="{C7E54340-87EE-4606-91A3-5CD12E8D9E07}" name="10" dataDxfId="150"/>
    <tableColumn id="12" xr3:uid="{8F033321-07AF-40DE-892A-8EEC92428A42}" name="11" dataDxfId="149"/>
    <tableColumn id="13" xr3:uid="{82443A9F-461A-4DCA-B13C-8FD0C2207D3F}" name="12" dataDxfId="148"/>
    <tableColumn id="14" xr3:uid="{89C565FF-176C-4B34-8ED8-713D62F03117}" name="Total" dataDxfId="147">
      <calculatedColumnFormula>SUM(G288:R288)</calculatedColumnFormula>
    </tableColumn>
    <tableColumn id="15" xr3:uid="{2191D8F4-FC60-4330-8266-41CB056459FA}" name="Number of point scoring rounds" dataDxfId="146">
      <calculatedColumnFormula>COUNTIF(G288:R288,"&gt;1")</calculatedColumnFormula>
    </tableColumn>
    <tableColumn id="16" xr3:uid="{01FE8406-198A-4250-82EB-26F069756CC1}" name="Observed? Y or N" dataDxfId="145">
      <calculatedColumnFormula>Table15[[#This Row],[Total]]</calculatedColumnFormula>
    </tableColumn>
    <tableColumn id="17" xr3:uid="{C5CEA2A5-1AF6-4E86-B435-90D415600889}" name="Penalty Applied" dataDxfId="144">
      <calculatedColumnFormula>IF(Table15[[#This Row],[Observed? Y or N]]="N", "-20", "0")</calculatedColumnFormula>
    </tableColumn>
    <tableColumn id="18" xr3:uid="{4E1553A4-3A54-4004-B1AB-07631D108285}" name="Best 8 Rounds including penalty" dataDxfId="143">
      <calculatedColumnFormula>Table15[[#This Row],[Total]]+Table15[[#This Row],[Penalty Applied]]</calculatedColumnFormula>
    </tableColumn>
    <tableColumn id="19" xr3:uid="{800C24E8-0599-475B-9672-D3E997D15001}" name="Position" dataDxfId="14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180F626-3F49-452A-A077-FA12C17D1EE0}" name="Table16" displayName="Table16" ref="E309:X312" totalsRowShown="0" headerRowDxfId="141" tableBorderDxfId="140">
  <autoFilter ref="E309:X312" xr:uid="{E180F626-3F49-452A-A077-FA12C17D1E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F310:X312">
    <sortCondition descending="1" ref="W310:W312"/>
  </sortState>
  <tableColumns count="20">
    <tableColumn id="20" xr3:uid="{1B055683-6BAF-4955-855D-5A0CD0FA3F84}" name="P67/Twinshock Blue" dataDxfId="139"/>
    <tableColumn id="1" xr3:uid="{78EF56A0-F745-4EA1-8B9F-9A7D63F72163}" name="Club" dataDxfId="138"/>
    <tableColumn id="2" xr3:uid="{780EABFE-7031-413F-B9FF-13532668F81E}" name="1" dataDxfId="137"/>
    <tableColumn id="3" xr3:uid="{B9BAF4E3-C87F-49E2-83AD-52E641D3DABD}" name="2" dataDxfId="136"/>
    <tableColumn id="4" xr3:uid="{463E9ED3-7A86-47B9-A75A-1463C59FBA6B}" name="3" dataDxfId="135"/>
    <tableColumn id="5" xr3:uid="{44C22427-EDB7-412F-A0A5-F2E8349F963E}" name="4" dataDxfId="134"/>
    <tableColumn id="6" xr3:uid="{69E61A8D-534E-46B6-BADA-6B19223C8D8F}" name="5" dataDxfId="133"/>
    <tableColumn id="7" xr3:uid="{3F15F299-C154-4442-8A86-41B3F8020017}" name="6" dataDxfId="132"/>
    <tableColumn id="8" xr3:uid="{11289D62-EDF2-4123-902C-1B88FB49C14C}" name="7" dataDxfId="131"/>
    <tableColumn id="9" xr3:uid="{E3FB66C0-F8A0-4CA4-9905-0E7F598549D3}" name="8" dataDxfId="130"/>
    <tableColumn id="10" xr3:uid="{A4BB8455-61C8-4FAF-8B0C-DA4DC5167162}" name="9" dataDxfId="129"/>
    <tableColumn id="11" xr3:uid="{19E88C17-23C4-4F2E-BE44-0D33973C6935}" name="10" dataDxfId="128"/>
    <tableColumn id="12" xr3:uid="{5F842364-871B-4BC7-9CE4-76187B400BF7}" name="11" dataDxfId="127"/>
    <tableColumn id="13" xr3:uid="{78211866-5885-4BA9-AD32-B5B41271DAC6}" name="12" dataDxfId="126"/>
    <tableColumn id="14" xr3:uid="{3AB2CADF-F9D8-4AD7-8C7D-28B73E405148}" name="Total" dataDxfId="125">
      <calculatedColumnFormula>SUM(Table16[[#This Row],[1]:[12]])</calculatedColumnFormula>
    </tableColumn>
    <tableColumn id="15" xr3:uid="{0D5371EB-D180-428F-B811-07C6591C98BC}" name="Number of point scoring rounds" dataDxfId="124">
      <calculatedColumnFormula>COUNTIF(G310:R310,"&gt;1")</calculatedColumnFormula>
    </tableColumn>
    <tableColumn id="16" xr3:uid="{98B6698C-1FF8-433E-9F90-7B1C96E8DC40}" name="Observed? Y or N" dataDxfId="123"/>
    <tableColumn id="17" xr3:uid="{44154E68-C258-4C41-8404-F93AE8B49660}" name="Penalty Applied" dataDxfId="122">
      <calculatedColumnFormula>IF(Table16[[#This Row],[Observed? Y or N]]="N", "-20", "0")</calculatedColumnFormula>
    </tableColumn>
    <tableColumn id="18" xr3:uid="{04DEF9A0-602F-4EC3-B9B5-FA19BA88F73C}" name="Best 8 Rounds including penalty" dataDxfId="121">
      <calculatedColumnFormula>Table16[[#This Row],[Total]]+Table16[[#This Row],[Penalty Applied]]</calculatedColumnFormula>
    </tableColumn>
    <tableColumn id="19" xr3:uid="{AC444089-2D3A-4713-B31E-19765CCE10B6}" name="Position" dataDxfId="1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771186-5C99-43FC-9A93-084BF5F6A6B0}" name="Table103" displayName="Table103" ref="E228:V232" headerRowCount="0" totalsRowShown="0" headerRowDxfId="119" dataDxfId="118" tableBorderDxfId="117">
  <sortState xmlns:xlrd2="http://schemas.microsoft.com/office/spreadsheetml/2017/richdata2" ref="E228:V232">
    <sortCondition descending="1" ref="U229:U232"/>
  </sortState>
  <tableColumns count="18">
    <tableColumn id="16" xr3:uid="{B404E002-B55E-4DDE-A6ED-25F6382F2414}" name="Column16" headerRowDxfId="116" dataDxfId="115"/>
    <tableColumn id="1" xr3:uid="{982CE3D3-77D9-444A-A253-188652442BF6}" name="Column1" headerRowDxfId="114" dataDxfId="113"/>
    <tableColumn id="2" xr3:uid="{DFB7C24D-0B0D-4101-888D-69AD590116EB}" name="Column2" headerRowDxfId="112" dataDxfId="111"/>
    <tableColumn id="3" xr3:uid="{47CD18B9-8568-480E-9AAE-EDEE4513CB3E}" name="Column3" headerRowDxfId="110" dataDxfId="109"/>
    <tableColumn id="4" xr3:uid="{FE3B01DD-6A4E-41A9-89D5-EACF8949B28A}" name="Column4" headerRowDxfId="108" dataDxfId="107"/>
    <tableColumn id="5" xr3:uid="{4C01BD26-94D0-46D7-9A11-209FF48DC745}" name="Column5" headerRowDxfId="106" dataDxfId="105"/>
    <tableColumn id="6" xr3:uid="{3DE80C04-A1C5-4635-9519-F20E90039BBB}" name="Column6" headerRowDxfId="104" dataDxfId="103"/>
    <tableColumn id="7" xr3:uid="{BC3C4FA0-E197-4E14-A610-9EF3FF078608}" name="Column7" headerRowDxfId="102" dataDxfId="101"/>
    <tableColumn id="8" xr3:uid="{4A03B578-32B3-4E77-86B4-E75A12F7F929}" name="Column8" headerRowDxfId="100" dataDxfId="99"/>
    <tableColumn id="9" xr3:uid="{5255F4DD-4768-4398-BCF6-66C2DB7D6D39}" name="Column9" headerRowDxfId="98" dataDxfId="97"/>
    <tableColumn id="10" xr3:uid="{47B4DA28-A1A8-45C8-B8DD-523768397B7C}" name="Column10" headerRowDxfId="96" dataDxfId="95"/>
    <tableColumn id="11" xr3:uid="{02C07BE8-968D-4729-AE5B-881770234162}" name="Column11" headerRowDxfId="94" dataDxfId="93"/>
    <tableColumn id="12" xr3:uid="{EBC655CE-7B5A-4C4E-8836-0AE6C61AF352}" name="Column12" headerRowDxfId="92" dataDxfId="91"/>
    <tableColumn id="13" xr3:uid="{87A06C8D-C98E-453F-B45A-0F4838D8E47B}" name="Column13" headerRowDxfId="90" dataDxfId="89"/>
    <tableColumn id="14" xr3:uid="{724BF5DD-57B6-45C6-AF4E-33E7B49FA9B7}" name="Column14" headerRowDxfId="88" dataDxfId="87">
      <calculatedColumnFormula>SUM(Table103[[#This Row],[Column2]:[Column13]])</calculatedColumnFormula>
    </tableColumn>
    <tableColumn id="15" xr3:uid="{25CEC10C-3484-4A8D-9F23-211A9D57C895}" name="Column15" headerRowDxfId="86" dataDxfId="85">
      <calculatedColumnFormula>COUNTIF(G228:R228,"&gt;1")</calculatedColumnFormula>
    </tableColumn>
    <tableColumn id="18" xr3:uid="{CF44D5C5-806D-4A45-BF04-A7C8522619FC}" name="Column18" headerRowDxfId="84" dataDxfId="83"/>
    <tableColumn id="19" xr3:uid="{8973F996-4ADA-4832-A8B6-8EAE2050E0D9}" name="Column19" headerRowDxfId="82" dataDxfId="8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29DCA9C-4491-45D7-862B-01A9DD5C149A}" name="Table118" displayName="Table118" ref="E10:X14" headerRowDxfId="80" dataDxfId="79" tableBorderDxfId="78">
  <sortState xmlns:xlrd2="http://schemas.microsoft.com/office/spreadsheetml/2017/richdata2" ref="E11:X14">
    <sortCondition descending="1" ref="W11:W14"/>
  </sortState>
  <tableColumns count="20">
    <tableColumn id="20" xr3:uid="{D34865AC-63F0-4906-91BD-80356CA0120C}" name="Elite" dataDxfId="77" totalsRowDxfId="76"/>
    <tableColumn id="1" xr3:uid="{C1C36C49-2272-4C61-86C1-2F27933F90DA}" name="Club" totalsRowLabel="Total" dataDxfId="75" totalsRowDxfId="74"/>
    <tableColumn id="2" xr3:uid="{993A1EA3-253E-429F-A180-85773F196E61}" name="1" dataDxfId="73" totalsRowDxfId="72"/>
    <tableColumn id="3" xr3:uid="{E93A064A-5406-4ADF-9098-CBB855BAE289}" name="2" dataDxfId="71" totalsRowDxfId="70"/>
    <tableColumn id="4" xr3:uid="{F6EEB554-769E-4367-8EA0-75D115D7404C}" name="3" dataDxfId="69" totalsRowDxfId="68"/>
    <tableColumn id="5" xr3:uid="{D29C218D-826B-41D7-928F-403B64698553}" name="4" dataDxfId="67" totalsRowDxfId="66"/>
    <tableColumn id="6" xr3:uid="{6519A40C-6E1F-431D-9104-95930D97F309}" name="5" dataDxfId="65" totalsRowDxfId="64"/>
    <tableColumn id="7" xr3:uid="{E5BF36F3-BA1D-4229-8B98-D2A03B69736C}" name="6" dataDxfId="63" totalsRowDxfId="62"/>
    <tableColumn id="8" xr3:uid="{7735C821-E7D2-4AA5-81D9-57E65B5D618B}" name="7" dataDxfId="61" totalsRowDxfId="60"/>
    <tableColumn id="9" xr3:uid="{ED84F5B1-DEB7-4B72-9FB6-9A7FA7414D05}" name="8" dataDxfId="59" totalsRowDxfId="58"/>
    <tableColumn id="10" xr3:uid="{E00BBA23-BFA1-490E-8BB1-3333F1B61E26}" name="9" dataDxfId="57" totalsRowDxfId="56"/>
    <tableColumn id="11" xr3:uid="{4B2AEEAB-18DF-48B9-9C30-EB67789177E7}" name="10" dataDxfId="55" totalsRowDxfId="54"/>
    <tableColumn id="12" xr3:uid="{ECE29236-E2FB-4DF4-B925-57188AE75CDB}" name="11" dataDxfId="53" totalsRowDxfId="52"/>
    <tableColumn id="13" xr3:uid="{DF439A44-C45B-4B77-9939-D9F644D26C85}" name="12" dataDxfId="51" totalsRowDxfId="50"/>
    <tableColumn id="14" xr3:uid="{110CEB75-43EA-4F20-A3DD-AD3CC4D6A3F9}" name="Total" dataDxfId="49" totalsRowDxfId="48">
      <calculatedColumnFormula>SUM(G11:R11)</calculatedColumnFormula>
    </tableColumn>
    <tableColumn id="15" xr3:uid="{90B467DD-2ED9-4660-98FF-BD9953E1038C}" name="Number of point scoring rounds" dataDxfId="47" totalsRowDxfId="46">
      <calculatedColumnFormula>COUNTIF(G11:R11,"&gt;1")</calculatedColumnFormula>
    </tableColumn>
    <tableColumn id="16" xr3:uid="{F76CF8C8-DD6D-4032-9432-8CF6560A0FDB}" name="Observed? Y or N" dataDxfId="45" totalsRowDxfId="44"/>
    <tableColumn id="17" xr3:uid="{AEB7DF48-82EF-4698-9395-ECBB821A277A}" name="Penalty Applied" totalsRowFunction="count" dataDxfId="43" totalsRowDxfId="42">
      <calculatedColumnFormula>IF(Table118[[#This Row],[Observed? Y or N]]="N", "-20", "0")</calculatedColumnFormula>
    </tableColumn>
    <tableColumn id="18" xr3:uid="{FB667877-D6F0-4EFB-A946-F2021439991C}" name="Best 8 Rounds including penalty" dataDxfId="41">
      <calculatedColumnFormula>Table118[[#This Row],[Total]]+Table118[[#This Row],[Penalty Applied]]-Table118[[#This Row],[1]]</calculatedColumnFormula>
    </tableColumn>
    <tableColumn id="19" xr3:uid="{FE1C8B2D-A2BC-4F41-8281-66831E333312}" name="Position" dataDxfId="40" totalsRow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0B69DE-51D5-44D3-9292-CBB6C897E1D0}" name="Table3" displayName="Table3" ref="E36:X51" totalsRowShown="0" headerRowDxfId="401" dataDxfId="400" tableBorderDxfId="399">
  <autoFilter ref="E36:X51" xr:uid="{D60B69DE-51D5-44D3-9292-CBB6C897E1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37:X51">
    <sortCondition descending="1" ref="W37:W51"/>
  </sortState>
  <tableColumns count="20">
    <tableColumn id="20" xr3:uid="{D75D0609-A50E-427D-BFBF-5421A43D45DF}" name="Expert B" dataDxfId="398"/>
    <tableColumn id="1" xr3:uid="{F2F20358-7FE6-4B3F-8A13-3205F9AB285E}" name="Club" dataDxfId="397"/>
    <tableColumn id="2" xr3:uid="{AF51933E-1256-499E-ABE9-71B14F1158AE}" name="1" dataDxfId="396"/>
    <tableColumn id="3" xr3:uid="{018F2295-2E1F-448D-89B5-63972520F637}" name="2" dataDxfId="395"/>
    <tableColumn id="4" xr3:uid="{3AE21C6E-EFAB-4419-B01F-4FCE1AC81B1D}" name="3" dataDxfId="394"/>
    <tableColumn id="5" xr3:uid="{FDA120F6-26BD-4F69-BB4E-E66C38DE702A}" name="4" dataDxfId="393"/>
    <tableColumn id="6" xr3:uid="{719D8119-F8A2-4E9F-90C1-C61541E3E787}" name="5" dataDxfId="392"/>
    <tableColumn id="7" xr3:uid="{1843FC34-BAE6-46B5-8B70-4E7C0FE67FCB}" name="6" dataDxfId="391"/>
    <tableColumn id="8" xr3:uid="{6C269700-C6BE-4739-9E63-C27B96A10A58}" name="7" dataDxfId="390"/>
    <tableColumn id="9" xr3:uid="{9021E0A0-742D-44BD-A542-E7C4D32F1A6A}" name="8" dataDxfId="389"/>
    <tableColumn id="10" xr3:uid="{2B6FEC4C-0C45-4414-8F3C-B3BDA6EA3A26}" name="9" dataDxfId="388"/>
    <tableColumn id="11" xr3:uid="{9EF6096C-45A6-4EC5-A361-6FFB9ACF2E4C}" name="10" dataDxfId="387"/>
    <tableColumn id="12" xr3:uid="{FCC74548-2F10-4F50-8BFC-AE12ACC76E29}" name="11" dataDxfId="386"/>
    <tableColumn id="13" xr3:uid="{CD58A271-C5CE-43E7-9083-EFFC0314D3CF}" name="12" dataDxfId="385"/>
    <tableColumn id="14" xr3:uid="{9BC7C2B2-7C39-46B2-AB6B-D8F59CD230DB}" name="Total" dataDxfId="384">
      <calculatedColumnFormula>SUM(G37:R37)</calculatedColumnFormula>
    </tableColumn>
    <tableColumn id="15" xr3:uid="{03FFA3F9-55D5-4B0E-AEC5-8A455EE3F8AB}" name="Number of point scoring rounds" dataDxfId="383">
      <calculatedColumnFormula>COUNTIF(G37:R37,"&gt;1")</calculatedColumnFormula>
    </tableColumn>
    <tableColumn id="16" xr3:uid="{73468A6A-E1BD-4D8B-909A-1014AF5B9D90}" name="Observed? Y or N" dataDxfId="382">
      <calculatedColumnFormula>Table3[[#This Row],[Total]]</calculatedColumnFormula>
    </tableColumn>
    <tableColumn id="17" xr3:uid="{B16573A2-30A9-48FB-B216-8E793E012FE6}" name="Penalty Applied" dataDxfId="381">
      <calculatedColumnFormula>IF(Table3[[#This Row],[Observed? Y or N]]="N", "-20", "0")</calculatedColumnFormula>
    </tableColumn>
    <tableColumn id="18" xr3:uid="{A3F01266-C5C7-48F1-9715-EA46D9B6B9B2}" name="Best 8 Rounds including penalty" dataDxfId="36">
      <calculatedColumnFormula>Table3[[#This Row],[Total]]+Table3[[#This Row],[Penalty Applied]]</calculatedColumnFormula>
    </tableColumn>
    <tableColumn id="19" xr3:uid="{83D55528-62F5-43A9-A40A-B7A2E2C958ED}" name="Position" dataDxfId="3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39F616-76D2-4A92-8260-837BC38C21E5}" name="Table4" displayName="Table4" ref="E54:X82" totalsRowShown="0" headerRowDxfId="379" tableBorderDxfId="378">
  <autoFilter ref="E54:X82" xr:uid="{4C39F616-76D2-4A92-8260-837BC38C21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55:X82">
    <sortCondition descending="1" ref="W55:W82"/>
  </sortState>
  <tableColumns count="20">
    <tableColumn id="20" xr3:uid="{7E397A00-864A-43C1-8214-BD6A54721A53}" name="Intermediate" dataDxfId="377"/>
    <tableColumn id="1" xr3:uid="{E06EFF3B-E4B4-40B2-84D0-E2017EC2124D}" name="Club" dataDxfId="376"/>
    <tableColumn id="2" xr3:uid="{6316842D-A49F-4756-8A13-52CB3F4DCCBB}" name="1" dataDxfId="375"/>
    <tableColumn id="3" xr3:uid="{3CB01A5E-80F7-4D79-99A9-AD7D33F6CD57}" name="2" dataDxfId="374"/>
    <tableColumn id="4" xr3:uid="{C842B246-8F42-40C2-AD06-3D60FE494575}" name="3" dataDxfId="373"/>
    <tableColumn id="5" xr3:uid="{CC698B1C-84ED-465E-80CD-6C3CA7E29F7A}" name="4" dataDxfId="372"/>
    <tableColumn id="6" xr3:uid="{60901085-11E7-4806-9A32-32964E9316B7}" name="5" dataDxfId="371"/>
    <tableColumn id="7" xr3:uid="{7E120896-A95D-4BB3-8EC4-BA482712F9DC}" name="6" dataDxfId="370"/>
    <tableColumn id="8" xr3:uid="{55AADFE2-F6C2-4715-B602-B0D43B0BBAFB}" name="7" dataDxfId="369"/>
    <tableColumn id="9" xr3:uid="{D46F29C5-F4BD-440F-BEB8-432542DF47AE}" name="8" dataDxfId="368"/>
    <tableColumn id="10" xr3:uid="{418DBB19-50E9-4502-BD6E-D3C64705C21B}" name="9" dataDxfId="367"/>
    <tableColumn id="11" xr3:uid="{5AC5ED3F-0E03-4F79-B429-5EF49C0AC28B}" name="10" dataDxfId="366"/>
    <tableColumn id="12" xr3:uid="{9121F485-6342-41A1-904C-5283D717AA47}" name="11" dataDxfId="365"/>
    <tableColumn id="13" xr3:uid="{A7F3A465-AF11-4425-AB36-E4110D52EDAE}" name="12" dataDxfId="364"/>
    <tableColumn id="14" xr3:uid="{558FC9EC-6C3A-4EC1-8A8B-78DE445E63FC}" name="Total" dataDxfId="363">
      <calculatedColumnFormula>SUM(G55:R55)</calculatedColumnFormula>
    </tableColumn>
    <tableColumn id="15" xr3:uid="{A5053DC8-FAA6-43DE-A543-5189D9600AA1}" name="Number of point scoring rounds" dataDxfId="362">
      <calculatedColumnFormula>COUNTIF(G55:R55,"&gt;1")</calculatedColumnFormula>
    </tableColumn>
    <tableColumn id="16" xr3:uid="{BEEADA64-C0D7-40C1-A5DC-6E3D08CE6870}" name="Observed? Y or N" dataDxfId="361">
      <calculatedColumnFormula>Table4[[#This Row],[Total]]</calculatedColumnFormula>
    </tableColumn>
    <tableColumn id="17" xr3:uid="{9AFBE952-CB1D-451B-A5F6-E49490DB5844}" name="Penalty Applied" dataDxfId="360">
      <calculatedColumnFormula>IF(Table4[[#This Row],[Observed? Y or N]]="N", "-20", "0")</calculatedColumnFormula>
    </tableColumn>
    <tableColumn id="18" xr3:uid="{3CB1761B-12F5-429D-A5AB-2F236850FAD2}" name="Best 8 Rounds including penalty" dataDxfId="359">
      <calculatedColumnFormula>Table4[[#This Row],[Total]]+Table4[[#This Row],[Penalty Applied]]</calculatedColumnFormula>
    </tableColumn>
    <tableColumn id="19" xr3:uid="{D65AFE9C-6ECF-4CFB-B9EA-25013DC818C1}" name="Position" dataDxfId="35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CD7567-05B3-412E-916F-460D36036F8C}" name="Table5" displayName="Table5" ref="E85:X106" totalsRowShown="0" headerRowDxfId="357" dataDxfId="356" tableBorderDxfId="355">
  <autoFilter ref="E85:X106" xr:uid="{7BCD7567-05B3-412E-916F-460D36036F8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86:X106">
    <sortCondition descending="1" ref="W86:W106"/>
  </sortState>
  <tableColumns count="20">
    <tableColumn id="20" xr3:uid="{25E409CC-A913-422F-A43C-DF30290F3850}" name="Over 40 Inter" dataDxfId="354"/>
    <tableColumn id="1" xr3:uid="{55ABBA7C-3694-4F9F-8843-C0011F43D024}" name="Club" dataDxfId="353"/>
    <tableColumn id="2" xr3:uid="{2D141765-F836-4E86-AAEA-A3BBB7135DC8}" name="1" dataDxfId="352"/>
    <tableColumn id="3" xr3:uid="{AFBF8016-6C16-4BDA-B4A1-5BB2D5AB6824}" name="2" dataDxfId="351"/>
    <tableColumn id="4" xr3:uid="{60A4EF72-CA56-4CC4-8F5A-4DCABDA83921}" name="3" dataDxfId="350"/>
    <tableColumn id="5" xr3:uid="{CAE21A5F-13EB-42DC-B4AB-59616BDD795D}" name="4" dataDxfId="349"/>
    <tableColumn id="6" xr3:uid="{B2F3B40E-CEE2-45B0-A1F1-2DE969D140EF}" name="5" dataDxfId="348"/>
    <tableColumn id="7" xr3:uid="{80F20090-89FA-4EA1-BCF7-C619F05694CC}" name="6" dataDxfId="347"/>
    <tableColumn id="8" xr3:uid="{B5008A89-D620-47DC-B7BA-BFB4E2578458}" name="7" dataDxfId="346"/>
    <tableColumn id="9" xr3:uid="{8537B357-8FFD-4166-BCA3-51A44B721E00}" name="8" dataDxfId="345"/>
    <tableColumn id="10" xr3:uid="{01F45E09-3A8E-4E10-9B5B-78B42ED13D9A}" name="9" dataDxfId="344"/>
    <tableColumn id="11" xr3:uid="{61E05F06-ECB6-40C7-971D-CF3855A3FC7D}" name="10" dataDxfId="343"/>
    <tableColumn id="12" xr3:uid="{FEEA7212-AD1B-4FBD-B229-D0BB4D0A3431}" name="11" dataDxfId="342"/>
    <tableColumn id="13" xr3:uid="{9DF47A9E-5C47-4DCB-B8D2-BE838F1579F1}" name="12" dataDxfId="341"/>
    <tableColumn id="14" xr3:uid="{111254B0-C548-44A0-93F2-F3B361D77A88}" name="Total" dataDxfId="340">
      <calculatedColumnFormula>SUM(G86:R86)</calculatedColumnFormula>
    </tableColumn>
    <tableColumn id="15" xr3:uid="{8A9AF9C9-D2CB-4FA5-AEEE-5871DD52BC76}" name="Number of point scoring rounds" dataDxfId="339">
      <calculatedColumnFormula>COUNTIF(G86:R86,"&gt;1")</calculatedColumnFormula>
    </tableColumn>
    <tableColumn id="16" xr3:uid="{72F393EF-A60E-4913-BB63-71615DF6B4F0}" name="Observed? Y or N" dataDxfId="338">
      <calculatedColumnFormula>Table5[[#This Row],[Total]]</calculatedColumnFormula>
    </tableColumn>
    <tableColumn id="17" xr3:uid="{B0D2049A-F818-4136-9614-D3EB18724654}" name="Penalty Applied" dataDxfId="337">
      <calculatedColumnFormula>IF(Table5[[#This Row],[Observed? Y or N]]="N", "-20", "0")</calculatedColumnFormula>
    </tableColumn>
    <tableColumn id="18" xr3:uid="{0AAC2A12-5E4E-4D74-A3E6-5085E1645307}" name="Best 8 Rounds including penalty" dataDxfId="35">
      <calculatedColumnFormula>Table5[[#This Row],[Total]]+Table5[[#This Row],[Penalty Applied]]-Table5[[#This Row],[3]]</calculatedColumnFormula>
    </tableColumn>
    <tableColumn id="19" xr3:uid="{5272BA52-1C00-4AFD-92FD-286880FB64C5}" name="Position" dataDxfId="33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7E38203-7D68-442C-8040-670C989CAAEE}" name="Table6" displayName="Table6" ref="E109:X130" totalsRowShown="0" headerRowDxfId="335" dataDxfId="334" tableBorderDxfId="333">
  <autoFilter ref="E109:X130" xr:uid="{57E38203-7D68-442C-8040-670C989CAA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10:X130">
    <sortCondition descending="1" ref="W110:W130"/>
  </sortState>
  <tableColumns count="20">
    <tableColumn id="20" xr3:uid="{E9F235E4-FF09-4C86-96A0-83623A1A6C64}" name="Inter B" dataDxfId="332"/>
    <tableColumn id="1" xr3:uid="{4B581689-CFEB-434C-9E7A-A54930C7F60C}" name="Club" dataDxfId="331"/>
    <tableColumn id="2" xr3:uid="{B6B59AB2-8EBB-4120-97C9-1842F4BDCF58}" name="1" dataDxfId="330"/>
    <tableColumn id="3" xr3:uid="{A0765D1C-E0EF-402A-839D-3965C43C4F9D}" name="2" dataDxfId="329"/>
    <tableColumn id="4" xr3:uid="{DC60A9A9-F7C4-4431-B499-DB259E25980B}" name="3" dataDxfId="328"/>
    <tableColumn id="5" xr3:uid="{C0F18A2F-7641-4D69-ACB4-98FE48C1161D}" name="4" dataDxfId="327"/>
    <tableColumn id="6" xr3:uid="{922990F2-020D-4206-BB56-7BEA7D985396}" name="5" dataDxfId="326"/>
    <tableColumn id="7" xr3:uid="{6E914DCA-9C46-4F0C-9C61-FD051C7BC706}" name="6" dataDxfId="325"/>
    <tableColumn id="8" xr3:uid="{FF7DB0EC-0757-4C45-8EF0-9894A0EC4808}" name="7" dataDxfId="324"/>
    <tableColumn id="9" xr3:uid="{08263561-A7C1-479C-B1D3-F778D40748C6}" name="8" dataDxfId="323"/>
    <tableColumn id="10" xr3:uid="{1AB4EBAA-726F-4492-B6A3-33DC610E0312}" name="9" dataDxfId="322"/>
    <tableColumn id="11" xr3:uid="{828ABC9E-3B5E-417C-BBC6-DE949D54E7D1}" name="10" dataDxfId="321"/>
    <tableColumn id="12" xr3:uid="{03AA7E19-D083-423B-80EC-2151240C1DC7}" name="11" dataDxfId="320"/>
    <tableColumn id="13" xr3:uid="{B08C8DBF-700B-49B8-B672-0FC1A784D9A4}" name="12" dataDxfId="319"/>
    <tableColumn id="14" xr3:uid="{5A281001-0EBF-4FEF-8CF2-B944D343D545}" name="Total" dataDxfId="318">
      <calculatedColumnFormula>SUM(Table6[[#This Row],[1]:[12]])</calculatedColumnFormula>
    </tableColumn>
    <tableColumn id="15" xr3:uid="{D39E922C-84F6-4916-974E-D8761A7EFEC3}" name="Number of point scoring rounds" dataDxfId="317">
      <calculatedColumnFormula>COUNTIF(G110:R110,"&gt;1")</calculatedColumnFormula>
    </tableColumn>
    <tableColumn id="16" xr3:uid="{30ABF846-0C72-4473-ABB4-DC758C34DD6D}" name="Observed? Y or N" dataDxfId="316">
      <calculatedColumnFormula>Table6[[#This Row],[Total]]</calculatedColumnFormula>
    </tableColumn>
    <tableColumn id="17" xr3:uid="{5550A32D-D58B-46C0-9B7E-FDD2AF1C52B1}" name="Penalty Applied" dataDxfId="315">
      <calculatedColumnFormula>IF(Table6[[#This Row],[Observed? Y or N]]="N", "-20", "0")</calculatedColumnFormula>
    </tableColumn>
    <tableColumn id="18" xr3:uid="{C4638D49-E9BC-4ED4-9C20-C5E551200AD1}" name="Best 8 Rounds including penalty" dataDxfId="314">
      <calculatedColumnFormula>Table6[[#This Row],[Total]]+Table6[[#This Row],[Penalty Applied]]</calculatedColumnFormula>
    </tableColumn>
    <tableColumn id="19" xr3:uid="{FAE5AD2A-884C-4F92-B121-C6391AEBA9AE}" name="Position" dataDxfId="31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7AD7363-689A-425B-8A2E-2F2DF75DE052}" name="Table7" displayName="Table7" ref="E133:X164" totalsRowShown="0" headerRowDxfId="312" dataDxfId="311" tableBorderDxfId="310">
  <autoFilter ref="E133:X164" xr:uid="{37AD7363-689A-425B-8A2E-2F2DF75DE0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34:X164">
    <sortCondition descending="1" ref="W134:W164"/>
  </sortState>
  <tableColumns count="20">
    <tableColumn id="20" xr3:uid="{015098CB-1E93-405E-848E-4555BF37D115}" name="Novice" dataDxfId="309"/>
    <tableColumn id="1" xr3:uid="{39D7C143-896D-45B0-8196-95AD05867E1A}" name="Club" dataDxfId="308"/>
    <tableColumn id="2" xr3:uid="{3F15E01C-CDB1-464E-A6B8-6609FE45C91D}" name="1" dataDxfId="307"/>
    <tableColumn id="3" xr3:uid="{A26B978A-EBA2-4BCE-95E1-F5992CAEE614}" name="2" dataDxfId="306"/>
    <tableColumn id="4" xr3:uid="{2D7387C3-E929-4E38-99AC-1B7BABCBFA46}" name="3" dataDxfId="305"/>
    <tableColumn id="5" xr3:uid="{C0D5C5A1-AA45-4314-A99A-2D6A0633524B}" name="4" dataDxfId="304"/>
    <tableColumn id="6" xr3:uid="{002C1FEA-3B6E-4756-A314-F99A903A92AA}" name="5" dataDxfId="303"/>
    <tableColumn id="7" xr3:uid="{6B4879F6-AA83-474E-8082-DF40B8E8C574}" name="6" dataDxfId="302"/>
    <tableColumn id="8" xr3:uid="{8A5586A1-C36C-4BE1-BA0A-C956EA7780D9}" name="7" dataDxfId="301"/>
    <tableColumn id="9" xr3:uid="{576995B9-C333-4863-A4AD-07E967DEB442}" name="8" dataDxfId="300"/>
    <tableColumn id="10" xr3:uid="{099BFCF6-08D3-4B4A-A298-750D357FAE26}" name="9" dataDxfId="299"/>
    <tableColumn id="11" xr3:uid="{462F6519-EDDB-495B-867D-56A13FB70FD2}" name="10" dataDxfId="298"/>
    <tableColumn id="12" xr3:uid="{06085AB8-D064-46E5-AC44-E9C5282ABB6C}" name="11" dataDxfId="297"/>
    <tableColumn id="13" xr3:uid="{AE3FD0D3-7E1B-41EA-9BAD-AFD4D78A36FB}" name="12" dataDxfId="296"/>
    <tableColumn id="14" xr3:uid="{07AC5C91-6EA9-4A3F-9064-4C0032C4AC4E}" name="Total" dataDxfId="295">
      <calculatedColumnFormula>SUM(Table7[[#This Row],[1]:[12]])</calculatedColumnFormula>
    </tableColumn>
    <tableColumn id="15" xr3:uid="{B954C269-A000-4210-B3B0-9FFCE7C1EDB0}" name="Number of point scoring rounds" dataDxfId="294">
      <calculatedColumnFormula>COUNTIF(G134:R134,"&gt;1")</calculatedColumnFormula>
    </tableColumn>
    <tableColumn id="16" xr3:uid="{717C92A8-4330-4AFE-B675-8B76AD565EA6}" name="Observed? Y or N" dataDxfId="293">
      <calculatedColumnFormula>Table7[[#This Row],[Total]]</calculatedColumnFormula>
    </tableColumn>
    <tableColumn id="17" xr3:uid="{BE326B3C-4209-47E6-B34D-95F243EF8B4A}" name="Penalty Applied" dataDxfId="292">
      <calculatedColumnFormula>IF(Table7[[#This Row],[Observed? Y or N]]="N", "-20", "0")</calculatedColumnFormula>
    </tableColumn>
    <tableColumn id="18" xr3:uid="{08FC9F11-883F-402B-ACFF-7AFF4B084D3D}" name="Best 8 Rounds including penalty" dataDxfId="291">
      <calculatedColumnFormula>Table7[[#This Row],[Total]]+Table7[[#This Row],[Penalty Applied]]</calculatedColumnFormula>
    </tableColumn>
    <tableColumn id="19" xr3:uid="{50FB804B-99F5-4E2D-BE20-FF4B0FFB496A}" name="Position" dataDxfId="29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2A38C1B-59D4-4AF9-BA9A-14FB876052B3}" name="Table8" displayName="Table8" ref="E167:X194" totalsRowShown="0" headerRowDxfId="289" dataDxfId="288" tableBorderDxfId="287">
  <autoFilter ref="E167:X194" xr:uid="{22A38C1B-59D4-4AF9-BA9A-14FB876052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68:X194">
    <sortCondition descending="1" ref="W168:W194"/>
  </sortState>
  <tableColumns count="20">
    <tableColumn id="20" xr3:uid="{1E4A2DB1-058E-459F-A555-0D6EBF80E190}" name="Over 50 Novice" dataDxfId="286"/>
    <tableColumn id="1" xr3:uid="{36CE43B4-89CE-4560-8BC6-6F1E8AE90906}" name="Club" dataDxfId="285"/>
    <tableColumn id="2" xr3:uid="{63E51872-719F-42E8-8F38-A4AFD77CCD07}" name="1" dataDxfId="284"/>
    <tableColumn id="3" xr3:uid="{5DC4EADF-D0C7-4D12-B62F-865EE46A9CF2}" name="2" dataDxfId="283"/>
    <tableColumn id="4" xr3:uid="{86785627-9855-42B3-9CFE-6F42B09E5FD8}" name="3" dataDxfId="282"/>
    <tableColumn id="5" xr3:uid="{11DD88DD-F301-4735-9EEA-5AF52451F223}" name="4" dataDxfId="281"/>
    <tableColumn id="6" xr3:uid="{D9A23475-8922-4327-9744-0EDE6271A6D3}" name="5" dataDxfId="280"/>
    <tableColumn id="7" xr3:uid="{CBD7B40A-C776-4F0D-8F4A-58408787E1EB}" name="6" dataDxfId="279"/>
    <tableColumn id="8" xr3:uid="{3B6D360E-654D-43EE-BE53-A95AB96B0F31}" name="7" dataDxfId="278"/>
    <tableColumn id="9" xr3:uid="{3EA16F86-4014-4C52-B11A-C4D5FE40D703}" name="8" dataDxfId="277"/>
    <tableColumn id="10" xr3:uid="{0DFC0611-AAC3-4978-9D7A-6877B1C6049F}" name="9" dataDxfId="276"/>
    <tableColumn id="11" xr3:uid="{344C0867-E725-4FCF-8E98-1EF68578B355}" name="10" dataDxfId="275"/>
    <tableColumn id="12" xr3:uid="{CFD0CE6B-4A04-464B-B3A5-31D99DB9A7B7}" name="11" dataDxfId="274"/>
    <tableColumn id="13" xr3:uid="{49CF1F14-F799-45EE-BC5E-1BC7010A7CEB}" name="12" dataDxfId="273"/>
    <tableColumn id="14" xr3:uid="{187D87A0-4CEB-47BF-B720-5D10A3514349}" name="Total" dataDxfId="272">
      <calculatedColumnFormula>SUM(Table8[[#This Row],[1]:[12]])</calculatedColumnFormula>
    </tableColumn>
    <tableColumn id="15" xr3:uid="{1F373D4E-BFA3-4DAB-8A9F-3CDB3F4153BE}" name="Number of point scoring rounds" dataDxfId="271">
      <calculatedColumnFormula>COUNTIF(G168:R168,"&gt;1")</calculatedColumnFormula>
    </tableColumn>
    <tableColumn id="16" xr3:uid="{67ED1601-CF5F-447E-AF77-2BD762CEA2ED}" name="Observed? Y or N" dataDxfId="270">
      <calculatedColumnFormula>Table8[[#This Row],[Total]]</calculatedColumnFormula>
    </tableColumn>
    <tableColumn id="17" xr3:uid="{126625CF-0A73-4F54-8B46-4E39CD211A39}" name="Penalty Applied" dataDxfId="269">
      <calculatedColumnFormula>IF(Table8[[#This Row],[Observed? Y or N]]="N", "-20", "0")</calculatedColumnFormula>
    </tableColumn>
    <tableColumn id="18" xr3:uid="{91D95381-E4C9-4F7A-8AA7-C4C4F35CC152}" name="Best 8 Rounds including penalty" dataDxfId="268">
      <calculatedColumnFormula>Table8[[#This Row],[Total]]+Table8[[#This Row],[Penalty Applied]]</calculatedColumnFormula>
    </tableColumn>
    <tableColumn id="19" xr3:uid="{A10B3D07-4BCC-4323-84E1-30B1B4C3B190}" name="Position" dataDxfId="26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3B8706-03A1-44DE-AD55-F4ECAB610C67}" name="Table9" displayName="Table9" ref="E197:X214" totalsRowShown="0" headerRowDxfId="266" dataDxfId="265" tableBorderDxfId="264">
  <autoFilter ref="E197:X214" xr:uid="{773B8706-03A1-44DE-AD55-F4ECAB610C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E198:X214">
    <sortCondition descending="1" ref="W198:W214"/>
  </sortState>
  <tableColumns count="20">
    <tableColumn id="20" xr3:uid="{7A5E564B-3ADC-456D-8EFF-3173A803989E}" name="Sportsperson Route" dataDxfId="263"/>
    <tableColumn id="1" xr3:uid="{A048815E-EA06-44CA-896D-D564111DDB4A}" name="Club" dataDxfId="262"/>
    <tableColumn id="2" xr3:uid="{3E0B6DD3-C4A6-47CA-97A7-D64780CC14DE}" name="1" dataDxfId="261"/>
    <tableColumn id="3" xr3:uid="{3C55A335-60D4-482B-93B0-0EBCFF103E94}" name="2" dataDxfId="260"/>
    <tableColumn id="4" xr3:uid="{C15B6394-4CE2-405D-8310-A3A15A32D1B5}" name="3" dataDxfId="259"/>
    <tableColumn id="5" xr3:uid="{079A9451-EDFE-46BE-94A2-796B859C7CA3}" name="4" dataDxfId="258"/>
    <tableColumn id="6" xr3:uid="{F87761DD-CBF4-4650-8390-F1869631264B}" name="5" dataDxfId="257"/>
    <tableColumn id="7" xr3:uid="{A6F96CF3-A29A-4FC6-8B00-4D3C119A12F0}" name="6" dataDxfId="256"/>
    <tableColumn id="8" xr3:uid="{D0785C99-9F59-4B35-8B95-7C13B41B710E}" name="7" dataDxfId="255"/>
    <tableColumn id="9" xr3:uid="{3E569786-68D0-478B-82B3-0E71A72846CA}" name="8" dataDxfId="254"/>
    <tableColumn id="10" xr3:uid="{1456778C-8EAA-4ABE-BD0D-AFB617FC1392}" name="9" dataDxfId="253"/>
    <tableColumn id="11" xr3:uid="{823A5ED3-9020-4EF4-AE01-A20347337BCD}" name="10" dataDxfId="252"/>
    <tableColumn id="12" xr3:uid="{58638BAA-1F47-4394-91F8-32BA75AAC465}" name="11" dataDxfId="251"/>
    <tableColumn id="13" xr3:uid="{4BE7205C-FAC8-4DA1-AAD1-649A85761621}" name="12" dataDxfId="250"/>
    <tableColumn id="14" xr3:uid="{BA2141B5-795F-49FE-B15A-715606B71C34}" name="Total" dataDxfId="249">
      <calculatedColumnFormula>SUM(G198:R198)</calculatedColumnFormula>
    </tableColumn>
    <tableColumn id="15" xr3:uid="{F72AA8EE-9AFA-4756-B74C-9270ACB2E847}" name="Number of point scoring rounds" dataDxfId="248">
      <calculatedColumnFormula>COUNTIF(G198:R198,"&gt;1")</calculatedColumnFormula>
    </tableColumn>
    <tableColumn id="16" xr3:uid="{750FD833-5291-4A09-99B2-33195777ADB7}" name="Observed? Y or N" dataDxfId="247">
      <calculatedColumnFormula>Table9[[#This Row],[Total]]</calculatedColumnFormula>
    </tableColumn>
    <tableColumn id="17" xr3:uid="{88D0457B-7F7F-4CE6-9D32-EDA936BEF219}" name="Penalty Applied" dataDxfId="246">
      <calculatedColumnFormula>IF(Table9[[#This Row],[Observed? Y or N]]="N", "-20", "0")</calculatedColumnFormula>
    </tableColumn>
    <tableColumn id="18" xr3:uid="{B82BEC48-F007-4CF1-AC71-1F35CAF6B408}" name="Best 8 Rounds including penalty" dataDxfId="245">
      <calculatedColumnFormula>Table9[[#This Row],[Total]]+Table9[[#This Row],[Penalty Applied]]</calculatedColumnFormula>
    </tableColumn>
    <tableColumn id="19" xr3:uid="{AB8957A8-90BD-4824-BA69-0AF2AAC65BD4}" name="Position" dataDxfId="24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B42F160-936A-4FFF-9710-FE7A7C880370}" name="Table10" displayName="Table10" ref="E218:V226" totalsRowShown="0" headerRowDxfId="243" dataDxfId="242" tableBorderDxfId="241">
  <autoFilter ref="E218:V226" xr:uid="{0B42F160-936A-4FFF-9710-FE7A7C8803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xmlns:xlrd2="http://schemas.microsoft.com/office/spreadsheetml/2017/richdata2" ref="E219:V226">
    <sortCondition descending="1" ref="U219:U226"/>
  </sortState>
  <tableColumns count="18">
    <tableColumn id="20" xr3:uid="{3972DBA7-7C90-406F-803B-A4A91F0EE0A1}" name="Youth Inter" dataDxfId="240"/>
    <tableColumn id="1" xr3:uid="{5EB238DD-CC4D-4B28-90D0-5E40F8E0AB96}" name="Club" dataDxfId="239"/>
    <tableColumn id="2" xr3:uid="{DA52D91C-BA9E-41C4-8E0B-707B3FA3DFFD}" name="1" dataDxfId="238"/>
    <tableColumn id="3" xr3:uid="{8BD2707B-1599-4AB4-89C9-1C9B1997E391}" name="2" dataDxfId="237"/>
    <tableColumn id="4" xr3:uid="{44018FF1-D664-4717-AEAA-80846D8EB46D}" name="3" dataDxfId="236"/>
    <tableColumn id="5" xr3:uid="{03115229-F690-4D04-BF5A-7729D2F4E519}" name="4" dataDxfId="235"/>
    <tableColumn id="6" xr3:uid="{DAA4DFB5-382E-4ED7-880B-8863A5F31078}" name="5" dataDxfId="234"/>
    <tableColumn id="7" xr3:uid="{F6103668-4993-4606-BFDC-DBB4C7811A97}" name="6" dataDxfId="233"/>
    <tableColumn id="8" xr3:uid="{1880D148-8E6E-4C52-8EC5-234AD8BF1938}" name="7" dataDxfId="232"/>
    <tableColumn id="9" xr3:uid="{03E8B2EF-985B-414F-9E3A-6850C6C63E9D}" name="8" dataDxfId="231"/>
    <tableColumn id="10" xr3:uid="{C201CFD5-6850-4C69-8CC7-442877B84EC0}" name="9" dataDxfId="230"/>
    <tableColumn id="11" xr3:uid="{1E8AEF9E-F9DF-440F-853F-E966FA438FFB}" name="10" dataDxfId="229"/>
    <tableColumn id="12" xr3:uid="{749A3B74-B320-4DF1-A061-BCF0D87309FD}" name="11" dataDxfId="228"/>
    <tableColumn id="13" xr3:uid="{D8D086D6-201A-44B5-84C6-75EB035296E7}" name="12" dataDxfId="227"/>
    <tableColumn id="14" xr3:uid="{D680920C-1CAB-42DD-8223-D35F77C3E622}" name="Total" dataDxfId="226">
      <calculatedColumnFormula>SUM(Table10[[#This Row],[1]:[12]])</calculatedColumnFormula>
    </tableColumn>
    <tableColumn id="15" xr3:uid="{30B72E62-893D-48F6-9056-A75D4D49E0DC}" name="Number of point scoring rounds" dataDxfId="225">
      <calculatedColumnFormula>COUNTIF(G219:R219,"&gt;1")</calculatedColumnFormula>
    </tableColumn>
    <tableColumn id="18" xr3:uid="{23A075EA-2D6C-4F6E-ADDB-94C6636DF690}" name="Best 8 Rounds including penalty" dataDxfId="224">
      <calculatedColumnFormula>Table10[[#This Row],[Total]]</calculatedColumnFormula>
    </tableColumn>
    <tableColumn id="19" xr3:uid="{466554AF-5B10-409B-9E4D-767EF5D8830D}" name="Position" dataDxfId="2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982C-DA6E-4D60-A40A-C87F9C056071}">
  <sheetPr>
    <pageSetUpPr fitToPage="1"/>
  </sheetPr>
  <dimension ref="A2:AL312"/>
  <sheetViews>
    <sheetView tabSelected="1" topLeftCell="A11" zoomScaleNormal="100" workbookViewId="0">
      <selection activeCell="X288" sqref="X288"/>
    </sheetView>
  </sheetViews>
  <sheetFormatPr defaultRowHeight="14.4" x14ac:dyDescent="0.3"/>
  <cols>
    <col min="5" max="5" width="18.44140625" bestFit="1" customWidth="1"/>
    <col min="6" max="6" width="9.33203125" customWidth="1"/>
    <col min="7" max="21" width="4.77734375" customWidth="1"/>
    <col min="22" max="22" width="4.109375" bestFit="1" customWidth="1"/>
    <col min="25" max="25" width="27" customWidth="1"/>
  </cols>
  <sheetData>
    <row r="2" spans="1:38" x14ac:dyDescent="0.3">
      <c r="E2" s="111" t="s">
        <v>109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38" x14ac:dyDescent="0.3"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38" x14ac:dyDescent="0.3"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38" x14ac:dyDescent="0.3"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</row>
    <row r="6" spans="1:38" ht="15" thickBot="1" x14ac:dyDescent="0.35">
      <c r="R6" s="112" t="s">
        <v>43</v>
      </c>
      <c r="S6" s="112"/>
      <c r="T6" s="112"/>
      <c r="U6" s="112"/>
    </row>
    <row r="7" spans="1:38" ht="64.2" thickBot="1" x14ac:dyDescent="0.35">
      <c r="G7" s="86" t="s">
        <v>19</v>
      </c>
      <c r="H7" s="7" t="s">
        <v>110</v>
      </c>
      <c r="I7" s="84" t="s">
        <v>111</v>
      </c>
      <c r="J7" s="7" t="s">
        <v>112</v>
      </c>
      <c r="K7" s="86" t="s">
        <v>113</v>
      </c>
      <c r="L7" s="81" t="s">
        <v>20</v>
      </c>
      <c r="M7" s="86" t="s">
        <v>21</v>
      </c>
      <c r="N7" s="81" t="s">
        <v>52</v>
      </c>
      <c r="O7" s="86" t="s">
        <v>22</v>
      </c>
      <c r="P7" s="7" t="s">
        <v>105</v>
      </c>
      <c r="Q7" s="84" t="s">
        <v>23</v>
      </c>
      <c r="R7" s="7" t="s">
        <v>24</v>
      </c>
      <c r="S7" s="6"/>
      <c r="T7" s="6"/>
      <c r="U7" s="6"/>
      <c r="V7" s="6"/>
      <c r="AA7" s="6"/>
      <c r="AB7" s="6"/>
      <c r="AC7" s="6"/>
      <c r="AD7" s="96"/>
      <c r="AE7" s="96"/>
      <c r="AF7" s="6"/>
      <c r="AG7" s="6"/>
      <c r="AH7" s="6"/>
      <c r="AI7" s="6"/>
      <c r="AJ7" s="6"/>
      <c r="AK7" s="6"/>
      <c r="AL7" s="6"/>
    </row>
    <row r="8" spans="1:38" ht="147" thickBot="1" x14ac:dyDescent="0.35">
      <c r="G8" s="83" t="s">
        <v>25</v>
      </c>
      <c r="H8" s="87" t="s">
        <v>114</v>
      </c>
      <c r="I8" s="85" t="s">
        <v>84</v>
      </c>
      <c r="J8" s="87" t="s">
        <v>26</v>
      </c>
      <c r="K8" s="83" t="s">
        <v>85</v>
      </c>
      <c r="L8" s="82" t="s">
        <v>86</v>
      </c>
      <c r="M8" s="83" t="s">
        <v>27</v>
      </c>
      <c r="N8" s="82" t="s">
        <v>51</v>
      </c>
      <c r="O8" s="83" t="s">
        <v>41</v>
      </c>
      <c r="P8" s="87" t="s">
        <v>28</v>
      </c>
      <c r="Q8" s="85" t="s">
        <v>29</v>
      </c>
      <c r="R8" s="87" t="s">
        <v>30</v>
      </c>
      <c r="S8" s="86"/>
      <c r="T8" s="7" t="s">
        <v>42</v>
      </c>
      <c r="U8" s="8" t="s">
        <v>61</v>
      </c>
      <c r="V8" s="7" t="s">
        <v>64</v>
      </c>
      <c r="W8" s="31" t="s">
        <v>62</v>
      </c>
      <c r="X8" s="32" t="s">
        <v>15</v>
      </c>
      <c r="AA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ht="15" thickBot="1" x14ac:dyDescent="0.35">
      <c r="A9" s="109" t="s">
        <v>44</v>
      </c>
      <c r="B9" s="110"/>
      <c r="C9" s="59"/>
      <c r="E9" s="2" t="s">
        <v>17</v>
      </c>
    </row>
    <row r="10" spans="1:38" ht="147" thickBot="1" x14ac:dyDescent="0.35">
      <c r="A10" s="1" t="s">
        <v>15</v>
      </c>
      <c r="B10" s="1" t="s">
        <v>16</v>
      </c>
      <c r="E10" s="60" t="s">
        <v>127</v>
      </c>
      <c r="F10" s="36" t="s">
        <v>91</v>
      </c>
      <c r="G10" s="61" t="s">
        <v>65</v>
      </c>
      <c r="H10" s="61" t="s">
        <v>66</v>
      </c>
      <c r="I10" s="61" t="s">
        <v>67</v>
      </c>
      <c r="J10" s="61" t="s">
        <v>68</v>
      </c>
      <c r="K10" s="61" t="s">
        <v>69</v>
      </c>
      <c r="L10" s="61" t="s">
        <v>70</v>
      </c>
      <c r="M10" s="61" t="s">
        <v>71</v>
      </c>
      <c r="N10" s="61" t="s">
        <v>72</v>
      </c>
      <c r="O10" s="61" t="s">
        <v>73</v>
      </c>
      <c r="P10" s="61" t="s">
        <v>74</v>
      </c>
      <c r="Q10" s="61" t="s">
        <v>75</v>
      </c>
      <c r="R10" s="61" t="s">
        <v>76</v>
      </c>
      <c r="S10" s="7" t="s">
        <v>31</v>
      </c>
      <c r="T10" s="7" t="s">
        <v>42</v>
      </c>
      <c r="U10" s="51" t="s">
        <v>61</v>
      </c>
      <c r="V10" s="51" t="s">
        <v>64</v>
      </c>
      <c r="W10" s="52" t="s">
        <v>62</v>
      </c>
      <c r="X10" s="32" t="s">
        <v>15</v>
      </c>
    </row>
    <row r="11" spans="1:38" x14ac:dyDescent="0.3">
      <c r="A11" s="2" t="s">
        <v>0</v>
      </c>
      <c r="B11" s="2">
        <v>20</v>
      </c>
      <c r="E11" s="41" t="s">
        <v>197</v>
      </c>
      <c r="F11" s="39" t="s">
        <v>29</v>
      </c>
      <c r="G11" s="118"/>
      <c r="H11" s="74"/>
      <c r="I11" s="74"/>
      <c r="J11" s="74"/>
      <c r="K11" s="74"/>
      <c r="L11" s="74"/>
      <c r="M11" s="74"/>
      <c r="N11" s="74">
        <v>20</v>
      </c>
      <c r="O11" s="74"/>
      <c r="P11" s="74"/>
      <c r="Q11" s="74">
        <v>20</v>
      </c>
      <c r="R11" s="75">
        <v>20</v>
      </c>
      <c r="S11" s="76">
        <f>SUM(G11:R11)</f>
        <v>60</v>
      </c>
      <c r="T11" s="76">
        <f>COUNTIF(G11:R11,"&gt;1")</f>
        <v>3</v>
      </c>
      <c r="U11" s="12" t="s">
        <v>63</v>
      </c>
      <c r="V11" s="3" t="str">
        <f>IF(Table118[[#This Row],[Observed? Y or N]]="N", "-20", "0")</f>
        <v>-20</v>
      </c>
      <c r="W11" s="2">
        <f>Table118[[#This Row],[Total]]+Table118[[#This Row],[Penalty Applied]]</f>
        <v>40</v>
      </c>
      <c r="X11" s="2"/>
    </row>
    <row r="12" spans="1:38" x14ac:dyDescent="0.3">
      <c r="A12" s="3" t="s">
        <v>1</v>
      </c>
      <c r="B12" s="3">
        <v>17</v>
      </c>
      <c r="E12" s="41" t="s">
        <v>128</v>
      </c>
      <c r="F12" s="39" t="s">
        <v>84</v>
      </c>
      <c r="G12" s="88"/>
      <c r="H12" s="74">
        <v>20</v>
      </c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6">
        <f>SUM(G12:R12)</f>
        <v>20</v>
      </c>
      <c r="T12" s="76">
        <f>COUNTIF(G12:R12,"&gt;1")</f>
        <v>1</v>
      </c>
      <c r="U12" s="9" t="s">
        <v>63</v>
      </c>
      <c r="V12" s="3" t="str">
        <f>IF(Table118[[#This Row],[Observed? Y or N]]="N", "-20", "0")</f>
        <v>-20</v>
      </c>
      <c r="W12" s="3">
        <f>Table118[[#This Row],[Total]]+Table118[[#This Row],[Penalty Applied]]</f>
        <v>0</v>
      </c>
      <c r="X12" s="3"/>
    </row>
    <row r="13" spans="1:38" x14ac:dyDescent="0.3">
      <c r="A13" s="3" t="s">
        <v>2</v>
      </c>
      <c r="B13" s="3">
        <v>15</v>
      </c>
      <c r="E13" s="41"/>
      <c r="F13" s="39"/>
      <c r="G13" s="88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5"/>
      <c r="S13" s="76">
        <f>SUM(G13:R13)</f>
        <v>0</v>
      </c>
      <c r="T13" s="76">
        <f>COUNTIF(G13:R13,"&gt;1")</f>
        <v>0</v>
      </c>
      <c r="U13" s="9" t="s">
        <v>63</v>
      </c>
      <c r="V13" s="3" t="str">
        <f>IF(Table118[[#This Row],[Observed? Y or N]]="N", "-20", "0")</f>
        <v>-20</v>
      </c>
      <c r="W13" s="3">
        <f>Table118[[#This Row],[Total]]+Table118[[#This Row],[Penalty Applied]]-Table118[[#This Row],[5]]-Table118[[#This Row],[9]]</f>
        <v>-20</v>
      </c>
      <c r="X13" s="3"/>
    </row>
    <row r="14" spans="1:38" x14ac:dyDescent="0.3">
      <c r="A14" s="3" t="s">
        <v>3</v>
      </c>
      <c r="B14" s="3">
        <v>13</v>
      </c>
      <c r="E14" s="41"/>
      <c r="F14" s="39"/>
      <c r="G14" s="88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5"/>
      <c r="S14" s="76">
        <f>SUM(G14:R14)</f>
        <v>0</v>
      </c>
      <c r="T14" s="76">
        <f>COUNTIF(G14:R14,"&gt;1")</f>
        <v>0</v>
      </c>
      <c r="U14" s="9" t="s">
        <v>63</v>
      </c>
      <c r="V14" s="3" t="str">
        <f>IF(Table118[[#This Row],[Observed? Y or N]]="N", "-20", "0")</f>
        <v>-20</v>
      </c>
      <c r="W14" s="3">
        <f>Table118[[#This Row],[Total]]+Table118[[#This Row],[Penalty Applied]]</f>
        <v>-20</v>
      </c>
      <c r="X14" s="3"/>
    </row>
    <row r="15" spans="1:38" ht="15" thickBot="1" x14ac:dyDescent="0.35">
      <c r="A15" s="3" t="s">
        <v>4</v>
      </c>
      <c r="B15" s="3">
        <v>11</v>
      </c>
      <c r="E15" s="41"/>
      <c r="F15" s="40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40"/>
      <c r="T15" s="40"/>
    </row>
    <row r="16" spans="1:38" ht="15" thickBot="1" x14ac:dyDescent="0.35">
      <c r="A16" s="3" t="s">
        <v>5</v>
      </c>
      <c r="B16" s="3">
        <v>10</v>
      </c>
      <c r="E16" s="2" t="s">
        <v>17</v>
      </c>
    </row>
    <row r="17" spans="1:24" ht="153" thickBot="1" x14ac:dyDescent="0.35">
      <c r="A17" s="3" t="s">
        <v>6</v>
      </c>
      <c r="B17" s="3">
        <v>9</v>
      </c>
      <c r="E17" s="60" t="s">
        <v>18</v>
      </c>
      <c r="F17" s="36" t="s">
        <v>91</v>
      </c>
      <c r="G17" s="61" t="s">
        <v>65</v>
      </c>
      <c r="H17" s="61" t="s">
        <v>66</v>
      </c>
      <c r="I17" s="61" t="s">
        <v>67</v>
      </c>
      <c r="J17" s="61" t="s">
        <v>68</v>
      </c>
      <c r="K17" s="61" t="s">
        <v>69</v>
      </c>
      <c r="L17" s="61" t="s">
        <v>70</v>
      </c>
      <c r="M17" s="61" t="s">
        <v>71</v>
      </c>
      <c r="N17" s="61" t="s">
        <v>72</v>
      </c>
      <c r="O17" s="61" t="s">
        <v>73</v>
      </c>
      <c r="P17" s="61" t="s">
        <v>74</v>
      </c>
      <c r="Q17" s="61" t="s">
        <v>75</v>
      </c>
      <c r="R17" s="61" t="s">
        <v>76</v>
      </c>
      <c r="S17" s="7" t="s">
        <v>31</v>
      </c>
      <c r="T17" s="7" t="s">
        <v>42</v>
      </c>
      <c r="U17" s="51" t="s">
        <v>61</v>
      </c>
      <c r="V17" s="51" t="s">
        <v>64</v>
      </c>
      <c r="W17" s="52" t="s">
        <v>62</v>
      </c>
      <c r="X17" s="32" t="s">
        <v>15</v>
      </c>
    </row>
    <row r="18" spans="1:24" x14ac:dyDescent="0.3">
      <c r="A18" s="3" t="s">
        <v>7</v>
      </c>
      <c r="B18" s="3">
        <v>8</v>
      </c>
      <c r="E18" s="41" t="s">
        <v>128</v>
      </c>
      <c r="F18" s="39" t="s">
        <v>84</v>
      </c>
      <c r="G18" s="118"/>
      <c r="H18" s="74"/>
      <c r="I18" s="74"/>
      <c r="J18" s="74">
        <v>20</v>
      </c>
      <c r="K18" s="74">
        <v>17</v>
      </c>
      <c r="L18" s="74">
        <v>20</v>
      </c>
      <c r="M18" s="74">
        <v>17</v>
      </c>
      <c r="N18" s="74">
        <v>20</v>
      </c>
      <c r="O18" s="74"/>
      <c r="P18" s="74">
        <v>17</v>
      </c>
      <c r="Q18" s="74">
        <v>20</v>
      </c>
      <c r="R18" s="75">
        <v>20</v>
      </c>
      <c r="S18" s="41">
        <f>SUM(G18:R18)</f>
        <v>151</v>
      </c>
      <c r="T18" s="41">
        <f>COUNTIF(G18:R18,"&gt;1")</f>
        <v>8</v>
      </c>
      <c r="U18" s="12" t="s">
        <v>63</v>
      </c>
      <c r="V18" s="3" t="str">
        <f>IF(Table1[[#This Row],[Observed? Y or N]]="N", "-20", "0")</f>
        <v>-20</v>
      </c>
      <c r="W18" s="2">
        <f>Table1[[#This Row],[Total]]+Table1[[#This Row],[Penalty Applied]]</f>
        <v>131</v>
      </c>
      <c r="X18" s="2" t="s">
        <v>0</v>
      </c>
    </row>
    <row r="19" spans="1:24" x14ac:dyDescent="0.3">
      <c r="A19" s="3" t="s">
        <v>8</v>
      </c>
      <c r="B19" s="3">
        <v>7</v>
      </c>
      <c r="E19" s="76" t="s">
        <v>78</v>
      </c>
      <c r="F19" s="97" t="s">
        <v>25</v>
      </c>
      <c r="G19" s="99">
        <v>11</v>
      </c>
      <c r="H19" s="100">
        <v>20</v>
      </c>
      <c r="I19" s="100">
        <v>13</v>
      </c>
      <c r="J19" s="100">
        <v>15</v>
      </c>
      <c r="K19" s="100">
        <v>13</v>
      </c>
      <c r="L19" s="100">
        <v>15</v>
      </c>
      <c r="M19" s="100">
        <v>15</v>
      </c>
      <c r="N19" s="100">
        <v>17</v>
      </c>
      <c r="O19" s="100">
        <v>17</v>
      </c>
      <c r="P19" s="100">
        <v>15</v>
      </c>
      <c r="Q19" s="100">
        <v>15</v>
      </c>
      <c r="R19" s="101"/>
      <c r="S19" s="76">
        <f>SUM(G19:R19)</f>
        <v>166</v>
      </c>
      <c r="T19" s="76">
        <f>COUNTIF(G19:R19,"&gt;1")</f>
        <v>11</v>
      </c>
      <c r="U19" s="9" t="s">
        <v>220</v>
      </c>
      <c r="V19" s="3" t="str">
        <f>IF(Table1[[#This Row],[Observed? Y or N]]="N", "-20", "0")</f>
        <v>0</v>
      </c>
      <c r="W19" s="3">
        <f>Table1[[#This Row],[Total]]+Table1[[#This Row],[Penalty Applied]]-Table1[[#This Row],[1]]-Table1[[#This Row],[3]]-Table1[[#This Row],[5]]</f>
        <v>129</v>
      </c>
      <c r="X19" s="3" t="s">
        <v>1</v>
      </c>
    </row>
    <row r="20" spans="1:24" x14ac:dyDescent="0.3">
      <c r="A20" s="3" t="s">
        <v>9</v>
      </c>
      <c r="B20" s="3">
        <v>6</v>
      </c>
      <c r="E20" s="41" t="s">
        <v>98</v>
      </c>
      <c r="F20" s="39" t="s">
        <v>25</v>
      </c>
      <c r="G20" s="88">
        <v>15</v>
      </c>
      <c r="H20" s="74">
        <v>15</v>
      </c>
      <c r="I20" s="74">
        <v>15</v>
      </c>
      <c r="J20" s="74"/>
      <c r="K20" s="74">
        <v>10</v>
      </c>
      <c r="L20" s="74"/>
      <c r="M20" s="74"/>
      <c r="N20" s="74"/>
      <c r="O20" s="74"/>
      <c r="P20" s="74">
        <v>13</v>
      </c>
      <c r="Q20" s="74">
        <v>11</v>
      </c>
      <c r="R20" s="75">
        <v>17</v>
      </c>
      <c r="S20" s="76">
        <f>SUM(G20:R20)</f>
        <v>96</v>
      </c>
      <c r="T20" s="76">
        <f>COUNTIF(G20:R20,"&gt;1")</f>
        <v>7</v>
      </c>
      <c r="U20" s="9" t="s">
        <v>63</v>
      </c>
      <c r="V20" s="3" t="str">
        <f>IF(Table1[[#This Row],[Observed? Y or N]]="N", "-20", "0")</f>
        <v>-20</v>
      </c>
      <c r="W20" s="3">
        <f>Table1[[#This Row],[Total]]+Table1[[#This Row],[Penalty Applied]]</f>
        <v>76</v>
      </c>
      <c r="X20" s="3" t="s">
        <v>2</v>
      </c>
    </row>
    <row r="21" spans="1:24" x14ac:dyDescent="0.3">
      <c r="A21" s="3" t="s">
        <v>10</v>
      </c>
      <c r="B21" s="3">
        <v>5</v>
      </c>
      <c r="E21" s="41" t="s">
        <v>170</v>
      </c>
      <c r="F21" s="39" t="s">
        <v>29</v>
      </c>
      <c r="G21" s="88"/>
      <c r="H21" s="74"/>
      <c r="I21" s="74">
        <v>20</v>
      </c>
      <c r="J21" s="74">
        <v>17</v>
      </c>
      <c r="K21" s="74">
        <v>20</v>
      </c>
      <c r="L21" s="74"/>
      <c r="M21" s="74"/>
      <c r="N21" s="74"/>
      <c r="O21" s="74">
        <v>20</v>
      </c>
      <c r="P21" s="74"/>
      <c r="Q21" s="74">
        <v>17</v>
      </c>
      <c r="R21" s="75"/>
      <c r="S21" s="41">
        <f>SUM(G21:R21)</f>
        <v>94</v>
      </c>
      <c r="T21" s="41">
        <f>COUNTIF(G21:R21,"&gt;1")</f>
        <v>5</v>
      </c>
      <c r="U21" s="9" t="s">
        <v>63</v>
      </c>
      <c r="V21" s="3" t="str">
        <f>IF(Table1[[#This Row],[Observed? Y or N]]="N", "-20", "0")</f>
        <v>-20</v>
      </c>
      <c r="W21" s="3">
        <f>Table1[[#This Row],[Total]]+Table1[[#This Row],[Penalty Applied]]</f>
        <v>74</v>
      </c>
      <c r="X21" s="3"/>
    </row>
    <row r="22" spans="1:24" x14ac:dyDescent="0.3">
      <c r="A22" s="3" t="s">
        <v>11</v>
      </c>
      <c r="B22" s="3">
        <v>4</v>
      </c>
      <c r="E22" s="41" t="s">
        <v>118</v>
      </c>
      <c r="F22" s="39" t="s">
        <v>84</v>
      </c>
      <c r="G22" s="88">
        <v>9</v>
      </c>
      <c r="H22" s="74">
        <v>17</v>
      </c>
      <c r="I22" s="74">
        <v>11</v>
      </c>
      <c r="J22" s="74">
        <v>13</v>
      </c>
      <c r="K22" s="74">
        <v>11</v>
      </c>
      <c r="L22" s="74"/>
      <c r="M22" s="74"/>
      <c r="N22" s="74"/>
      <c r="O22" s="74"/>
      <c r="P22" s="74"/>
      <c r="Q22" s="74">
        <v>13</v>
      </c>
      <c r="R22" s="75">
        <v>15</v>
      </c>
      <c r="S22" s="41">
        <f>SUM(G22:R22)</f>
        <v>89</v>
      </c>
      <c r="T22" s="41">
        <f>COUNTIF(G22:R22,"&gt;1")</f>
        <v>7</v>
      </c>
      <c r="U22" s="9" t="s">
        <v>63</v>
      </c>
      <c r="V22" s="3" t="str">
        <f>IF(Table1[[#This Row],[Observed? Y or N]]="N", "-20", "0")</f>
        <v>-20</v>
      </c>
      <c r="W22" s="3">
        <f>Table1[[#This Row],[Total]]+Table1[[#This Row],[Penalty Applied]]</f>
        <v>69</v>
      </c>
      <c r="X22" s="3"/>
    </row>
    <row r="23" spans="1:24" x14ac:dyDescent="0.3">
      <c r="A23" s="3" t="s">
        <v>12</v>
      </c>
      <c r="B23" s="3">
        <v>3</v>
      </c>
      <c r="E23" s="76" t="s">
        <v>171</v>
      </c>
      <c r="F23" s="97" t="s">
        <v>25</v>
      </c>
      <c r="G23" s="99"/>
      <c r="H23" s="100"/>
      <c r="I23" s="100">
        <v>8</v>
      </c>
      <c r="J23" s="100">
        <v>10</v>
      </c>
      <c r="K23" s="100"/>
      <c r="L23" s="100"/>
      <c r="M23" s="100"/>
      <c r="N23" s="100">
        <v>15</v>
      </c>
      <c r="O23" s="100">
        <v>15</v>
      </c>
      <c r="P23" s="100">
        <v>10</v>
      </c>
      <c r="Q23" s="100">
        <v>10</v>
      </c>
      <c r="R23" s="101"/>
      <c r="S23" s="76">
        <f>SUM(G23:R23)</f>
        <v>68</v>
      </c>
      <c r="T23" s="76">
        <f>COUNTIF(G23:R23,"&gt;1")</f>
        <v>6</v>
      </c>
      <c r="U23" s="9" t="s">
        <v>220</v>
      </c>
      <c r="V23" s="3" t="str">
        <f>IF(Table1[[#This Row],[Observed? Y or N]]="N", "-20", "0")</f>
        <v>0</v>
      </c>
      <c r="W23" s="3">
        <f>Table1[[#This Row],[Total]]+Table1[[#This Row],[Penalty Applied]]</f>
        <v>68</v>
      </c>
      <c r="X23" s="3"/>
    </row>
    <row r="24" spans="1:24" x14ac:dyDescent="0.3">
      <c r="A24" s="3" t="s">
        <v>13</v>
      </c>
      <c r="B24" s="3">
        <v>2</v>
      </c>
      <c r="E24" s="76" t="s">
        <v>129</v>
      </c>
      <c r="F24" s="97" t="s">
        <v>87</v>
      </c>
      <c r="G24" s="99"/>
      <c r="H24" s="100">
        <v>11</v>
      </c>
      <c r="I24" s="100">
        <v>10</v>
      </c>
      <c r="J24" s="100">
        <v>11</v>
      </c>
      <c r="K24" s="100">
        <v>9</v>
      </c>
      <c r="L24" s="100"/>
      <c r="M24" s="100"/>
      <c r="N24" s="100"/>
      <c r="O24" s="100"/>
      <c r="P24" s="100"/>
      <c r="Q24" s="100"/>
      <c r="R24" s="101"/>
      <c r="S24" s="76">
        <f>SUM(G24:R24)</f>
        <v>41</v>
      </c>
      <c r="T24" s="76">
        <f>COUNTIF(G24:R24,"&gt;1")</f>
        <v>4</v>
      </c>
      <c r="U24" s="9" t="s">
        <v>220</v>
      </c>
      <c r="V24" s="3" t="str">
        <f>IF(Table1[[#This Row],[Observed? Y or N]]="N", "-20", "0")</f>
        <v>0</v>
      </c>
      <c r="W24" s="3">
        <f>Table1[[#This Row],[Total]]+Table1[[#This Row],[Penalty Applied]]</f>
        <v>41</v>
      </c>
      <c r="X24" s="3"/>
    </row>
    <row r="25" spans="1:24" ht="15" thickBot="1" x14ac:dyDescent="0.35">
      <c r="A25" s="4" t="s">
        <v>14</v>
      </c>
      <c r="B25" s="4">
        <v>1</v>
      </c>
      <c r="E25" s="41" t="s">
        <v>197</v>
      </c>
      <c r="F25" s="39" t="s">
        <v>29</v>
      </c>
      <c r="G25" s="88"/>
      <c r="H25" s="74"/>
      <c r="I25" s="74"/>
      <c r="J25" s="74"/>
      <c r="K25" s="74"/>
      <c r="L25" s="74">
        <v>17</v>
      </c>
      <c r="M25" s="74">
        <v>20</v>
      </c>
      <c r="N25" s="74"/>
      <c r="O25" s="74"/>
      <c r="P25" s="74">
        <v>20</v>
      </c>
      <c r="Q25" s="74"/>
      <c r="R25" s="75"/>
      <c r="S25" s="41">
        <f>SUM(G25:R25)</f>
        <v>57</v>
      </c>
      <c r="T25" s="41">
        <f>COUNTIF(G25:R25,"&gt;1")</f>
        <v>3</v>
      </c>
      <c r="U25" s="9" t="s">
        <v>63</v>
      </c>
      <c r="V25" s="3" t="str">
        <f>IF(Table1[[#This Row],[Observed? Y or N]]="N", "-20", "0")</f>
        <v>-20</v>
      </c>
      <c r="W25" s="3">
        <f>Table1[[#This Row],[Total]]+Table1[[#This Row],[Penalty Applied]]</f>
        <v>37</v>
      </c>
      <c r="X25" s="3"/>
    </row>
    <row r="26" spans="1:24" x14ac:dyDescent="0.3">
      <c r="E26" s="41" t="s">
        <v>130</v>
      </c>
      <c r="F26" s="39" t="s">
        <v>25</v>
      </c>
      <c r="G26" s="88"/>
      <c r="H26" s="74">
        <v>10</v>
      </c>
      <c r="I26" s="74">
        <v>9</v>
      </c>
      <c r="J26" s="74">
        <v>9</v>
      </c>
      <c r="K26" s="74"/>
      <c r="L26" s="74">
        <v>11</v>
      </c>
      <c r="M26" s="74">
        <v>11</v>
      </c>
      <c r="N26" s="74"/>
      <c r="O26" s="74"/>
      <c r="P26" s="74"/>
      <c r="Q26" s="74"/>
      <c r="R26" s="75"/>
      <c r="S26" s="41">
        <f>SUM(G26:R26)</f>
        <v>50</v>
      </c>
      <c r="T26" s="41">
        <f>COUNTIF(G26:R26,"&gt;1")</f>
        <v>5</v>
      </c>
      <c r="U26" s="9" t="s">
        <v>63</v>
      </c>
      <c r="V26" s="3" t="str">
        <f>IF(Table1[[#This Row],[Observed? Y or N]]="N", "-20", "0")</f>
        <v>-20</v>
      </c>
      <c r="W26" s="3">
        <f>Table1[[#This Row],[Total]]+Table1[[#This Row],[Penalty Applied]]</f>
        <v>30</v>
      </c>
      <c r="X26" s="3"/>
    </row>
    <row r="27" spans="1:24" x14ac:dyDescent="0.3">
      <c r="E27" s="41" t="s">
        <v>99</v>
      </c>
      <c r="F27" s="40" t="s">
        <v>30</v>
      </c>
      <c r="G27" s="88">
        <v>10</v>
      </c>
      <c r="H27" s="74"/>
      <c r="I27" s="74">
        <v>7</v>
      </c>
      <c r="J27" s="74">
        <v>8</v>
      </c>
      <c r="K27" s="74">
        <v>8</v>
      </c>
      <c r="L27" s="74">
        <v>10</v>
      </c>
      <c r="M27" s="74"/>
      <c r="N27" s="74"/>
      <c r="O27" s="74"/>
      <c r="P27" s="74"/>
      <c r="Q27" s="74"/>
      <c r="R27" s="75"/>
      <c r="S27" s="41">
        <f>SUM(G27:R27)</f>
        <v>43</v>
      </c>
      <c r="T27" s="41">
        <f>COUNTIF(G27:R27,"&gt;1")</f>
        <v>5</v>
      </c>
      <c r="U27" s="9" t="s">
        <v>63</v>
      </c>
      <c r="V27" s="3" t="str">
        <f>IF(Table1[[#This Row],[Observed? Y or N]]="N", "-20", "0")</f>
        <v>-20</v>
      </c>
      <c r="W27" s="3">
        <f>Table1[[#This Row],[Total]]+Table1[[#This Row],[Penalty Applied]]</f>
        <v>23</v>
      </c>
      <c r="X27" s="3"/>
    </row>
    <row r="28" spans="1:24" x14ac:dyDescent="0.3">
      <c r="E28" s="41" t="s">
        <v>117</v>
      </c>
      <c r="F28" s="39"/>
      <c r="G28" s="88">
        <v>13</v>
      </c>
      <c r="H28" s="74">
        <v>13</v>
      </c>
      <c r="I28" s="74">
        <v>17</v>
      </c>
      <c r="J28" s="74"/>
      <c r="K28" s="74"/>
      <c r="L28" s="74"/>
      <c r="M28" s="74"/>
      <c r="N28" s="74"/>
      <c r="O28" s="74"/>
      <c r="P28" s="74"/>
      <c r="Q28" s="74"/>
      <c r="R28" s="75"/>
      <c r="S28" s="76">
        <f>SUM(G28:R28)</f>
        <v>43</v>
      </c>
      <c r="T28" s="76">
        <f>COUNTIF(G28:R28,"&gt;1")</f>
        <v>3</v>
      </c>
      <c r="U28" s="9" t="s">
        <v>63</v>
      </c>
      <c r="V28" s="3" t="str">
        <f>IF(Table1[[#This Row],[Observed? Y or N]]="N", "-20", "0")</f>
        <v>-20</v>
      </c>
      <c r="W28" s="3">
        <f>Table1[[#This Row],[Total]]+Table1[[#This Row],[Penalty Applied]]</f>
        <v>23</v>
      </c>
      <c r="X28" s="3"/>
    </row>
    <row r="29" spans="1:24" x14ac:dyDescent="0.3">
      <c r="E29" s="41" t="s">
        <v>102</v>
      </c>
      <c r="F29" s="39" t="s">
        <v>97</v>
      </c>
      <c r="G29" s="88"/>
      <c r="H29" s="74"/>
      <c r="I29" s="74"/>
      <c r="J29" s="74"/>
      <c r="K29" s="74"/>
      <c r="L29" s="74"/>
      <c r="M29" s="74"/>
      <c r="N29" s="74"/>
      <c r="O29" s="74"/>
      <c r="P29" s="74">
        <v>11</v>
      </c>
      <c r="Q29" s="74"/>
      <c r="R29" s="75"/>
      <c r="S29" s="41">
        <f>SUM(G29:R29)</f>
        <v>11</v>
      </c>
      <c r="T29" s="41">
        <f>COUNTIF(G29:R29,"&gt;1")</f>
        <v>1</v>
      </c>
      <c r="U29" s="9"/>
      <c r="V29" s="3"/>
      <c r="W29" s="3">
        <f>Table1[[#This Row],[Total]]+Table1[[#This Row],[Penalty Applied]]</f>
        <v>11</v>
      </c>
      <c r="X29" s="3"/>
    </row>
    <row r="30" spans="1:24" x14ac:dyDescent="0.3">
      <c r="E30" s="76" t="s">
        <v>131</v>
      </c>
      <c r="F30" s="97" t="s">
        <v>25</v>
      </c>
      <c r="G30" s="99"/>
      <c r="H30" s="100"/>
      <c r="I30" s="100"/>
      <c r="J30" s="100"/>
      <c r="K30" s="100">
        <v>7</v>
      </c>
      <c r="L30" s="100"/>
      <c r="M30" s="100"/>
      <c r="N30" s="100"/>
      <c r="O30" s="100"/>
      <c r="P30" s="100"/>
      <c r="Q30" s="100"/>
      <c r="R30" s="101"/>
      <c r="S30" s="76">
        <f>SUM(G30:R30)</f>
        <v>7</v>
      </c>
      <c r="T30" s="76">
        <f>COUNTIF(G30:R30,"&gt;1")</f>
        <v>1</v>
      </c>
      <c r="U30" s="9" t="s">
        <v>220</v>
      </c>
      <c r="V30" s="3" t="str">
        <f>IF(Table1[[#This Row],[Observed? Y or N]]="N", "-20", "0")</f>
        <v>0</v>
      </c>
      <c r="W30" s="3">
        <f>Table1[[#This Row],[Total]]+Table1[[#This Row],[Penalty Applied]]</f>
        <v>7</v>
      </c>
      <c r="X30" s="3"/>
    </row>
    <row r="31" spans="1:24" x14ac:dyDescent="0.3">
      <c r="E31" s="41" t="s">
        <v>54</v>
      </c>
      <c r="F31" s="39" t="s">
        <v>25</v>
      </c>
      <c r="G31" s="88"/>
      <c r="H31" s="74"/>
      <c r="I31" s="74"/>
      <c r="J31" s="74"/>
      <c r="K31" s="74"/>
      <c r="L31" s="74">
        <v>13</v>
      </c>
      <c r="M31" s="74">
        <v>13</v>
      </c>
      <c r="N31" s="74"/>
      <c r="O31" s="74"/>
      <c r="P31" s="74"/>
      <c r="Q31" s="74"/>
      <c r="R31" s="75"/>
      <c r="S31" s="41">
        <f>SUM(G31:R31)</f>
        <v>26</v>
      </c>
      <c r="T31" s="41">
        <f>COUNTIF(G31:R31,"&gt;1")</f>
        <v>2</v>
      </c>
      <c r="U31" s="9" t="s">
        <v>63</v>
      </c>
      <c r="V31" s="3" t="str">
        <f>IF(Table1[[#This Row],[Observed? Y or N]]="N", "-20", "0")</f>
        <v>-20</v>
      </c>
      <c r="W31" s="3">
        <f>Table1[[#This Row],[Total]]+Table1[[#This Row],[Penalty Applied]]</f>
        <v>6</v>
      </c>
      <c r="X31" s="3"/>
    </row>
    <row r="32" spans="1:24" x14ac:dyDescent="0.3">
      <c r="E32" s="41" t="s">
        <v>115</v>
      </c>
      <c r="F32" s="39" t="s">
        <v>87</v>
      </c>
      <c r="G32" s="88">
        <v>20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5"/>
      <c r="S32" s="76">
        <f>SUM(G32:R32)</f>
        <v>20</v>
      </c>
      <c r="T32" s="76">
        <f>COUNTIF(G32:R32,"&gt;1")</f>
        <v>1</v>
      </c>
      <c r="U32" s="9" t="s">
        <v>63</v>
      </c>
      <c r="V32" s="3" t="str">
        <f>IF(Table1[[#This Row],[Observed? Y or N]]="N", "-20", "0")</f>
        <v>-20</v>
      </c>
      <c r="W32" s="3">
        <f>Table1[[#This Row],[Total]]+Table1[[#This Row],[Penalty Applied]]</f>
        <v>0</v>
      </c>
      <c r="X32" s="3"/>
    </row>
    <row r="33" spans="5:24" x14ac:dyDescent="0.3">
      <c r="E33" s="41" t="s">
        <v>116</v>
      </c>
      <c r="F33" s="39" t="s">
        <v>29</v>
      </c>
      <c r="G33" s="88">
        <v>17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5"/>
      <c r="S33" s="76">
        <f>SUM(G33:R33)</f>
        <v>17</v>
      </c>
      <c r="T33" s="76">
        <f>COUNTIF(G33:R33,"&gt;1")</f>
        <v>1</v>
      </c>
      <c r="U33" s="9" t="s">
        <v>63</v>
      </c>
      <c r="V33" s="3" t="str">
        <f>IF(Table1[[#This Row],[Observed? Y or N]]="N", "-20", "0")</f>
        <v>-20</v>
      </c>
      <c r="W33" s="3">
        <f>Table1[[#This Row],[Total]]+Table1[[#This Row],[Penalty Applied]]</f>
        <v>-3</v>
      </c>
      <c r="X33" s="3"/>
    </row>
    <row r="34" spans="5:24" ht="15" thickBot="1" x14ac:dyDescent="0.35">
      <c r="E34" s="41" t="s">
        <v>188</v>
      </c>
      <c r="F34" s="116" t="s">
        <v>189</v>
      </c>
      <c r="G34" s="88"/>
      <c r="H34" s="74"/>
      <c r="I34" s="74"/>
      <c r="J34" s="74"/>
      <c r="K34" s="74">
        <v>15</v>
      </c>
      <c r="L34" s="74"/>
      <c r="M34" s="74"/>
      <c r="N34" s="74"/>
      <c r="O34" s="74"/>
      <c r="P34" s="74"/>
      <c r="Q34" s="74"/>
      <c r="R34" s="75"/>
      <c r="S34" s="41">
        <f>SUM(G34:R34)</f>
        <v>15</v>
      </c>
      <c r="T34" s="41">
        <f>COUNTIF(G34:R34,"&gt;1")</f>
        <v>1</v>
      </c>
      <c r="U34" s="9" t="s">
        <v>63</v>
      </c>
      <c r="V34" s="3" t="str">
        <f>IF(Table1[[#This Row],[Observed? Y or N]]="N", "-20", "0")</f>
        <v>-20</v>
      </c>
      <c r="W34" s="3">
        <f>Table1[[#This Row],[Total]]+Table1[[#This Row],[Penalty Applied]]</f>
        <v>-5</v>
      </c>
      <c r="X34" s="4"/>
    </row>
    <row r="35" spans="5:24" ht="15" thickBot="1" x14ac:dyDescent="0.35"/>
    <row r="36" spans="5:24" ht="154.19999999999999" thickBot="1" x14ac:dyDescent="0.35">
      <c r="E36" s="36" t="s">
        <v>32</v>
      </c>
      <c r="F36" s="36" t="s">
        <v>91</v>
      </c>
      <c r="G36" s="61" t="s">
        <v>65</v>
      </c>
      <c r="H36" s="61" t="s">
        <v>66</v>
      </c>
      <c r="I36" s="61" t="s">
        <v>67</v>
      </c>
      <c r="J36" s="61" t="s">
        <v>68</v>
      </c>
      <c r="K36" s="61" t="s">
        <v>69</v>
      </c>
      <c r="L36" s="61" t="s">
        <v>70</v>
      </c>
      <c r="M36" s="61" t="s">
        <v>71</v>
      </c>
      <c r="N36" s="61" t="s">
        <v>72</v>
      </c>
      <c r="O36" s="61" t="s">
        <v>73</v>
      </c>
      <c r="P36" s="61" t="s">
        <v>74</v>
      </c>
      <c r="Q36" s="61" t="s">
        <v>75</v>
      </c>
      <c r="R36" s="61" t="s">
        <v>76</v>
      </c>
      <c r="S36" s="7" t="s">
        <v>31</v>
      </c>
      <c r="T36" s="7" t="s">
        <v>42</v>
      </c>
      <c r="U36" s="54" t="s">
        <v>61</v>
      </c>
      <c r="V36" s="7" t="s">
        <v>64</v>
      </c>
      <c r="W36" s="32" t="s">
        <v>62</v>
      </c>
      <c r="X36" s="32" t="s">
        <v>15</v>
      </c>
    </row>
    <row r="37" spans="5:24" x14ac:dyDescent="0.3">
      <c r="E37" s="97" t="s">
        <v>57</v>
      </c>
      <c r="F37" s="78" t="s">
        <v>27</v>
      </c>
      <c r="G37" s="102">
        <v>20</v>
      </c>
      <c r="H37" s="117">
        <v>20</v>
      </c>
      <c r="I37" s="102">
        <v>20</v>
      </c>
      <c r="J37" s="102">
        <v>17</v>
      </c>
      <c r="K37" s="102">
        <v>17</v>
      </c>
      <c r="L37" s="102">
        <v>15</v>
      </c>
      <c r="M37" s="102"/>
      <c r="N37" s="102"/>
      <c r="O37" s="117">
        <v>17</v>
      </c>
      <c r="P37" s="102"/>
      <c r="Q37" s="102">
        <v>20</v>
      </c>
      <c r="R37" s="103"/>
      <c r="S37" s="78">
        <f>SUM(G37:R37)</f>
        <v>146</v>
      </c>
      <c r="T37" s="78">
        <f>COUNTIF(G37:R37,"&gt;1")</f>
        <v>8</v>
      </c>
      <c r="U37" s="12" t="s">
        <v>220</v>
      </c>
      <c r="V37" s="2" t="str">
        <f>IF(Table3[[#This Row],[Observed? Y or N]]="N", "-20", "0")</f>
        <v>0</v>
      </c>
      <c r="W37" s="3">
        <f>Table3[[#This Row],[Total]]+Table3[[#This Row],[Penalty Applied]]</f>
        <v>146</v>
      </c>
      <c r="X37" s="2" t="s">
        <v>0</v>
      </c>
    </row>
    <row r="38" spans="5:24" x14ac:dyDescent="0.3">
      <c r="E38" s="104" t="s">
        <v>55</v>
      </c>
      <c r="F38" s="104" t="s">
        <v>29</v>
      </c>
      <c r="G38" s="106">
        <v>15</v>
      </c>
      <c r="H38" s="106">
        <v>15</v>
      </c>
      <c r="I38" s="106"/>
      <c r="J38" s="106"/>
      <c r="K38" s="106"/>
      <c r="L38" s="106">
        <v>17</v>
      </c>
      <c r="M38" s="106">
        <v>20</v>
      </c>
      <c r="N38" s="106"/>
      <c r="O38" s="106">
        <v>15</v>
      </c>
      <c r="P38" s="106">
        <v>17</v>
      </c>
      <c r="Q38" s="106"/>
      <c r="R38" s="104">
        <v>15</v>
      </c>
      <c r="S38" s="105">
        <f>SUM(G38:R38)</f>
        <v>114</v>
      </c>
      <c r="T38" s="76">
        <f>COUNTIF(G38:R38,"&gt;1")</f>
        <v>7</v>
      </c>
      <c r="U38" s="9" t="s">
        <v>220</v>
      </c>
      <c r="V38" s="3" t="str">
        <f>IF(Table3[[#This Row],[Observed? Y or N]]="N", "-20", "0")</f>
        <v>0</v>
      </c>
      <c r="W38" s="3">
        <f>Table3[[#This Row],[Total]]+Table3[[#This Row],[Penalty Applied]]</f>
        <v>114</v>
      </c>
      <c r="X38" s="3" t="s">
        <v>1</v>
      </c>
    </row>
    <row r="39" spans="5:24" x14ac:dyDescent="0.3">
      <c r="E39" s="39" t="s">
        <v>54</v>
      </c>
      <c r="F39" s="41" t="s">
        <v>25</v>
      </c>
      <c r="G39" s="40">
        <v>17</v>
      </c>
      <c r="H39" s="40">
        <v>13</v>
      </c>
      <c r="I39" s="40"/>
      <c r="J39" s="40">
        <v>15</v>
      </c>
      <c r="K39" s="40"/>
      <c r="L39" s="40"/>
      <c r="M39" s="40"/>
      <c r="N39" s="40"/>
      <c r="O39" s="40">
        <v>13</v>
      </c>
      <c r="P39" s="40">
        <v>20</v>
      </c>
      <c r="Q39" s="40">
        <v>11</v>
      </c>
      <c r="R39" s="39">
        <v>11</v>
      </c>
      <c r="S39" s="76">
        <f>SUM(G39:R39)</f>
        <v>100</v>
      </c>
      <c r="T39" s="76">
        <f>COUNTIF(G39:R39,"&gt;1")</f>
        <v>7</v>
      </c>
      <c r="U39" s="9" t="s">
        <v>63</v>
      </c>
      <c r="V39" s="43" t="str">
        <f>IF(Table3[[#This Row],[Observed? Y or N]]="N", "-20", "0")</f>
        <v>-20</v>
      </c>
      <c r="W39" s="3">
        <f>Table3[[#This Row],[Total]]+Table3[[#This Row],[Penalty Applied]]</f>
        <v>80</v>
      </c>
      <c r="X39" s="3" t="s">
        <v>2</v>
      </c>
    </row>
    <row r="40" spans="5:24" x14ac:dyDescent="0.3">
      <c r="E40" s="39" t="s">
        <v>190</v>
      </c>
      <c r="F40" s="41" t="s">
        <v>86</v>
      </c>
      <c r="G40" s="40"/>
      <c r="H40" s="40"/>
      <c r="I40" s="40"/>
      <c r="J40" s="40"/>
      <c r="K40" s="40">
        <v>20</v>
      </c>
      <c r="L40" s="40">
        <v>20</v>
      </c>
      <c r="M40" s="40"/>
      <c r="N40" s="40"/>
      <c r="O40" s="40"/>
      <c r="P40" s="40"/>
      <c r="Q40" s="40">
        <v>15</v>
      </c>
      <c r="R40" s="39">
        <v>13</v>
      </c>
      <c r="S40" s="41">
        <f>SUM(G40:R40)</f>
        <v>68</v>
      </c>
      <c r="T40" s="41">
        <f>COUNTIF(G40:R40,"&gt;1")</f>
        <v>4</v>
      </c>
      <c r="U40" s="9" t="s">
        <v>63</v>
      </c>
      <c r="V40" s="43" t="str">
        <f>IF(Table3[[#This Row],[Observed? Y or N]]="N", "-20", "0")</f>
        <v>-20</v>
      </c>
      <c r="W40" s="3">
        <f>Table3[[#This Row],[Total]]+Table3[[#This Row],[Penalty Applied]]</f>
        <v>48</v>
      </c>
      <c r="X40" s="3"/>
    </row>
    <row r="41" spans="5:24" x14ac:dyDescent="0.3">
      <c r="E41" s="39" t="s">
        <v>184</v>
      </c>
      <c r="F41" s="41" t="s">
        <v>27</v>
      </c>
      <c r="G41" s="40"/>
      <c r="H41" s="40"/>
      <c r="I41" s="40"/>
      <c r="J41" s="40">
        <v>20</v>
      </c>
      <c r="K41" s="40"/>
      <c r="L41" s="40"/>
      <c r="M41" s="40"/>
      <c r="N41" s="40"/>
      <c r="O41" s="40"/>
      <c r="P41" s="40"/>
      <c r="Q41" s="40">
        <v>17</v>
      </c>
      <c r="R41" s="39">
        <v>20</v>
      </c>
      <c r="S41" s="41">
        <f>SUM(G41:R41)</f>
        <v>57</v>
      </c>
      <c r="T41" s="41">
        <f>COUNTIF(G41:R41,"&gt;1")</f>
        <v>3</v>
      </c>
      <c r="U41" s="9" t="s">
        <v>63</v>
      </c>
      <c r="V41" s="43" t="str">
        <f>IF(Table3[[#This Row],[Observed? Y or N]]="N", "-20", "0")</f>
        <v>-20</v>
      </c>
      <c r="W41" s="3">
        <f>Table3[[#This Row],[Total]]+Table3[[#This Row],[Penalty Applied]]</f>
        <v>37</v>
      </c>
      <c r="X41" s="3"/>
    </row>
    <row r="42" spans="5:24" x14ac:dyDescent="0.3">
      <c r="E42" s="97" t="s">
        <v>131</v>
      </c>
      <c r="F42" s="97" t="s">
        <v>25</v>
      </c>
      <c r="G42" s="98"/>
      <c r="H42" s="98">
        <v>17</v>
      </c>
      <c r="I42" s="98"/>
      <c r="J42" s="98"/>
      <c r="K42" s="98"/>
      <c r="L42" s="98"/>
      <c r="M42" s="98"/>
      <c r="N42" s="98"/>
      <c r="O42" s="98"/>
      <c r="P42" s="98"/>
      <c r="Q42" s="98"/>
      <c r="R42" s="97"/>
      <c r="S42" s="76">
        <f>SUM(G42:R42)</f>
        <v>17</v>
      </c>
      <c r="T42" s="76">
        <f>COUNTIF(G42:R42,"&gt;1")</f>
        <v>1</v>
      </c>
      <c r="U42" s="9" t="s">
        <v>220</v>
      </c>
      <c r="V42" s="3" t="str">
        <f>IF(Table3[[#This Row],[Observed? Y or N]]="N", "-20", "0")</f>
        <v>0</v>
      </c>
      <c r="W42" s="3">
        <f>Table3[[#This Row],[Total]]+Table3[[#This Row],[Penalty Applied]]</f>
        <v>17</v>
      </c>
      <c r="X42" s="3"/>
    </row>
    <row r="43" spans="5:24" x14ac:dyDescent="0.3">
      <c r="E43" s="97" t="s">
        <v>236</v>
      </c>
      <c r="F43" s="76" t="s">
        <v>51</v>
      </c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>
        <v>13</v>
      </c>
      <c r="R43" s="97"/>
      <c r="S43" s="76">
        <f>SUM(G43:R43)</f>
        <v>13</v>
      </c>
      <c r="T43" s="76">
        <f>COUNTIF(G43:R43,"&gt;1")</f>
        <v>1</v>
      </c>
      <c r="U43" s="9" t="s">
        <v>220</v>
      </c>
      <c r="V43" s="3" t="str">
        <f>IF(Table3[[#This Row],[Observed? Y or N]]="N", "-20", "0")</f>
        <v>0</v>
      </c>
      <c r="W43" s="3">
        <f>Table3[[#This Row],[Total]]+Table3[[#This Row],[Penalty Applied]]</f>
        <v>13</v>
      </c>
      <c r="X43" s="3"/>
    </row>
    <row r="44" spans="5:24" x14ac:dyDescent="0.3">
      <c r="E44" s="39" t="s">
        <v>227</v>
      </c>
      <c r="F44" s="39" t="s">
        <v>29</v>
      </c>
      <c r="G44" s="40"/>
      <c r="H44" s="40"/>
      <c r="I44" s="40"/>
      <c r="J44" s="40"/>
      <c r="K44" s="40"/>
      <c r="L44" s="40"/>
      <c r="M44" s="40"/>
      <c r="N44" s="40"/>
      <c r="O44" s="40">
        <v>20</v>
      </c>
      <c r="P44" s="40"/>
      <c r="Q44" s="40"/>
      <c r="R44" s="39"/>
      <c r="S44" s="41">
        <f>SUM(G44:R44)</f>
        <v>20</v>
      </c>
      <c r="T44" s="41">
        <f>COUNTIF(G44:R44,"&gt;1")</f>
        <v>1</v>
      </c>
      <c r="U44" s="9" t="s">
        <v>63</v>
      </c>
      <c r="V44" s="43" t="str">
        <f>IF(Table3[[#This Row],[Observed? Y or N]]="N", "-20", "0")</f>
        <v>-20</v>
      </c>
      <c r="W44" s="3">
        <f>Table3[[#This Row],[Total]]+Table3[[#This Row],[Penalty Applied]]</f>
        <v>0</v>
      </c>
      <c r="X44" s="3"/>
    </row>
    <row r="45" spans="5:24" x14ac:dyDescent="0.3">
      <c r="E45" s="39" t="s">
        <v>106</v>
      </c>
      <c r="F45" s="39" t="s">
        <v>25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39">
        <v>17</v>
      </c>
      <c r="S45" s="41">
        <f>SUM(G45:R45)</f>
        <v>17</v>
      </c>
      <c r="T45" s="41">
        <f>COUNTIF(G45:R45,"&gt;1")</f>
        <v>1</v>
      </c>
      <c r="U45" s="9" t="s">
        <v>63</v>
      </c>
      <c r="V45" s="43" t="str">
        <f>IF(Table3[[#This Row],[Observed? Y or N]]="N", "-20", "0")</f>
        <v>-20</v>
      </c>
      <c r="W45" s="3">
        <f>Table3[[#This Row],[Total]]+Table3[[#This Row],[Penalty Applied]]</f>
        <v>-3</v>
      </c>
      <c r="X45" s="3"/>
    </row>
    <row r="46" spans="5:24" x14ac:dyDescent="0.3">
      <c r="E46" s="39" t="s">
        <v>92</v>
      </c>
      <c r="F46" s="39" t="s">
        <v>29</v>
      </c>
      <c r="G46" s="40">
        <v>13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39"/>
      <c r="S46" s="76">
        <f>SUM(G46:R46)</f>
        <v>13</v>
      </c>
      <c r="T46" s="76">
        <f>COUNTIF(G46:R46,"&gt;1")</f>
        <v>1</v>
      </c>
      <c r="U46" s="9" t="s">
        <v>63</v>
      </c>
      <c r="V46" s="3" t="str">
        <f>IF(Table3[[#This Row],[Observed? Y or N]]="N", "-20", "0")</f>
        <v>-20</v>
      </c>
      <c r="W46" s="3">
        <f>Table3[[#This Row],[Total]]+Table3[[#This Row],[Penalty Applied]]</f>
        <v>-7</v>
      </c>
      <c r="X46" s="3"/>
    </row>
    <row r="47" spans="5:24" x14ac:dyDescent="0.3">
      <c r="E47" s="39" t="s">
        <v>228</v>
      </c>
      <c r="F47" s="39" t="s">
        <v>97</v>
      </c>
      <c r="G47" s="40"/>
      <c r="H47" s="40"/>
      <c r="I47" s="40"/>
      <c r="J47" s="40"/>
      <c r="K47" s="40"/>
      <c r="L47" s="40"/>
      <c r="M47" s="40"/>
      <c r="N47" s="40"/>
      <c r="O47" s="40">
        <v>11</v>
      </c>
      <c r="P47" s="40"/>
      <c r="Q47" s="40"/>
      <c r="R47" s="39"/>
      <c r="S47" s="41">
        <f>SUM(G47:R47)</f>
        <v>11</v>
      </c>
      <c r="T47" s="41">
        <f>COUNTIF(G47:R47,"&gt;1")</f>
        <v>1</v>
      </c>
      <c r="U47" s="9" t="s">
        <v>63</v>
      </c>
      <c r="V47" s="43" t="str">
        <f>IF(Table3[[#This Row],[Observed? Y or N]]="N", "-20", "0")</f>
        <v>-20</v>
      </c>
      <c r="W47" s="3">
        <f>Table3[[#This Row],[Total]]+Table3[[#This Row],[Penalty Applied]]</f>
        <v>-9</v>
      </c>
      <c r="X47" s="3"/>
    </row>
    <row r="48" spans="5:24" x14ac:dyDescent="0.3">
      <c r="E48" s="39"/>
      <c r="F48" s="39"/>
      <c r="G48" s="116"/>
      <c r="H48" s="40"/>
      <c r="I48" s="116"/>
      <c r="J48" s="116"/>
      <c r="K48" s="116"/>
      <c r="L48" s="116"/>
      <c r="M48" s="116"/>
      <c r="N48" s="116"/>
      <c r="O48" s="40"/>
      <c r="P48" s="116"/>
      <c r="Q48" s="116"/>
      <c r="R48" s="39"/>
      <c r="S48" s="41">
        <f>SUM(G48:R48)</f>
        <v>0</v>
      </c>
      <c r="T48" s="41">
        <f>COUNTIF(G48:R48,"&gt;1")</f>
        <v>0</v>
      </c>
      <c r="U48" s="9" t="s">
        <v>63</v>
      </c>
      <c r="V48" s="43" t="str">
        <f>IF(Table3[[#This Row],[Observed? Y or N]]="N", "-20", "0")</f>
        <v>-20</v>
      </c>
      <c r="W48" s="3">
        <f>Table3[[#This Row],[Total]]+Table3[[#This Row],[Penalty Applied]]</f>
        <v>-20</v>
      </c>
      <c r="X48" s="3"/>
    </row>
    <row r="49" spans="5:24" x14ac:dyDescent="0.3">
      <c r="E49" s="39"/>
      <c r="F49" s="41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39"/>
      <c r="S49" s="41">
        <f>SUM(G49:R49)</f>
        <v>0</v>
      </c>
      <c r="T49" s="41">
        <f>COUNTIF(G49:R49,"&gt;1")</f>
        <v>0</v>
      </c>
      <c r="U49" s="9" t="s">
        <v>63</v>
      </c>
      <c r="V49" s="43" t="str">
        <f>IF(Table3[[#This Row],[Observed? Y or N]]="N", "-20", "0")</f>
        <v>-20</v>
      </c>
      <c r="W49" s="3">
        <f>Table3[[#This Row],[Total]]+Table3[[#This Row],[Penalty Applied]]</f>
        <v>-20</v>
      </c>
      <c r="X49" s="3"/>
    </row>
    <row r="50" spans="5:24" x14ac:dyDescent="0.3">
      <c r="E50" s="39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39"/>
      <c r="S50" s="41">
        <f>SUM(G50:R50)</f>
        <v>0</v>
      </c>
      <c r="T50" s="41">
        <f>COUNTIF(G50:R50,"&gt;1")</f>
        <v>0</v>
      </c>
      <c r="U50" s="9" t="s">
        <v>63</v>
      </c>
      <c r="V50" s="43" t="str">
        <f>IF(Table3[[#This Row],[Observed? Y or N]]="N", "-20", "0")</f>
        <v>-20</v>
      </c>
      <c r="W50" s="3">
        <f>Table3[[#This Row],[Total]]+Table3[[#This Row],[Penalty Applied]]</f>
        <v>-20</v>
      </c>
      <c r="X50" s="3"/>
    </row>
    <row r="51" spans="5:24" ht="15" thickBot="1" x14ac:dyDescent="0.35">
      <c r="E51" s="39"/>
      <c r="F51" s="46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8"/>
      <c r="S51" s="46">
        <f>SUM(G51:R51)</f>
        <v>0</v>
      </c>
      <c r="T51" s="46">
        <f>COUNTIF(G51:R51,"&gt;1")</f>
        <v>0</v>
      </c>
      <c r="U51" s="9" t="s">
        <v>63</v>
      </c>
      <c r="V51" s="4" t="str">
        <f>IF(Table3[[#This Row],[Observed? Y or N]]="N", "-20", "0")</f>
        <v>-20</v>
      </c>
      <c r="W51" s="3">
        <f>Table3[[#This Row],[Total]]+Table3[[#This Row],[Penalty Applied]]</f>
        <v>-20</v>
      </c>
      <c r="X51" s="4"/>
    </row>
    <row r="52" spans="5:24" x14ac:dyDescent="0.3">
      <c r="E52" s="9"/>
      <c r="Q52" s="9"/>
      <c r="R52" s="3"/>
    </row>
    <row r="53" spans="5:24" ht="15" thickBot="1" x14ac:dyDescent="0.35"/>
    <row r="54" spans="5:24" ht="154.19999999999999" thickBot="1" x14ac:dyDescent="0.35">
      <c r="E54" s="36" t="s">
        <v>33</v>
      </c>
      <c r="F54" s="36" t="s">
        <v>91</v>
      </c>
      <c r="G54" s="35" t="s">
        <v>65</v>
      </c>
      <c r="H54" s="35" t="s">
        <v>66</v>
      </c>
      <c r="I54" s="35" t="s">
        <v>67</v>
      </c>
      <c r="J54" s="35" t="s">
        <v>68</v>
      </c>
      <c r="K54" s="35" t="s">
        <v>69</v>
      </c>
      <c r="L54" s="35" t="s">
        <v>70</v>
      </c>
      <c r="M54" s="35" t="s">
        <v>71</v>
      </c>
      <c r="N54" s="35" t="s">
        <v>72</v>
      </c>
      <c r="O54" s="35" t="s">
        <v>73</v>
      </c>
      <c r="P54" s="35" t="s">
        <v>74</v>
      </c>
      <c r="Q54" s="35" t="s">
        <v>75</v>
      </c>
      <c r="R54" s="35" t="s">
        <v>76</v>
      </c>
      <c r="S54" s="7" t="s">
        <v>31</v>
      </c>
      <c r="T54" s="7" t="s">
        <v>42</v>
      </c>
      <c r="U54" s="54" t="s">
        <v>61</v>
      </c>
      <c r="V54" s="7" t="s">
        <v>64</v>
      </c>
      <c r="W54" s="32" t="s">
        <v>62</v>
      </c>
      <c r="X54" s="32" t="s">
        <v>15</v>
      </c>
    </row>
    <row r="55" spans="5:24" ht="15" thickBot="1" x14ac:dyDescent="0.35">
      <c r="E55" s="97" t="s">
        <v>58</v>
      </c>
      <c r="F55" s="78" t="s">
        <v>25</v>
      </c>
      <c r="G55" s="102">
        <v>17</v>
      </c>
      <c r="H55" s="102">
        <v>20</v>
      </c>
      <c r="I55" s="102">
        <v>20</v>
      </c>
      <c r="J55" s="102">
        <v>20</v>
      </c>
      <c r="K55" s="102">
        <v>20</v>
      </c>
      <c r="L55" s="102">
        <v>20</v>
      </c>
      <c r="M55" s="102">
        <v>9</v>
      </c>
      <c r="N55" s="102">
        <v>10</v>
      </c>
      <c r="O55" s="98">
        <v>15</v>
      </c>
      <c r="P55" s="102"/>
      <c r="Q55" s="102">
        <v>9</v>
      </c>
      <c r="R55" s="103">
        <v>20</v>
      </c>
      <c r="S55" s="79">
        <f>SUM(G55:R55)</f>
        <v>180</v>
      </c>
      <c r="T55" s="78">
        <f>COUNTIF(G55:R55,"&gt;1")</f>
        <v>11</v>
      </c>
      <c r="U55" s="9" t="s">
        <v>220</v>
      </c>
      <c r="V55" s="2" t="str">
        <f>IF(Table4[[#This Row],[Observed? Y or N]]="N", "-20", "0")</f>
        <v>0</v>
      </c>
      <c r="W55" s="3">
        <f>Table4[[#This Row],[Total]]+Table4[[#This Row],[Penalty Applied]]-Table4[[#This Row],[7]]-Table4[[#This Row],[11]]-Table4[[#This Row],[8]]</f>
        <v>152</v>
      </c>
      <c r="X55" s="2" t="s">
        <v>0</v>
      </c>
    </row>
    <row r="56" spans="5:24" ht="15" thickBot="1" x14ac:dyDescent="0.35">
      <c r="E56" s="97" t="s">
        <v>134</v>
      </c>
      <c r="F56" s="76" t="s">
        <v>25</v>
      </c>
      <c r="G56" s="98"/>
      <c r="H56" s="98">
        <v>17</v>
      </c>
      <c r="I56" s="98">
        <v>15</v>
      </c>
      <c r="J56" s="98">
        <v>17</v>
      </c>
      <c r="K56" s="98">
        <v>17</v>
      </c>
      <c r="L56" s="98">
        <v>9</v>
      </c>
      <c r="M56" s="98"/>
      <c r="N56" s="98">
        <v>13</v>
      </c>
      <c r="O56" s="98">
        <v>17</v>
      </c>
      <c r="P56" s="98"/>
      <c r="Q56" s="98">
        <v>10</v>
      </c>
      <c r="R56" s="97">
        <v>17</v>
      </c>
      <c r="S56" s="79">
        <f>SUM(G56:R56)</f>
        <v>132</v>
      </c>
      <c r="T56" s="78">
        <f>COUNTIF(G56:R56,"&gt;1")</f>
        <v>9</v>
      </c>
      <c r="U56" s="9" t="s">
        <v>220</v>
      </c>
      <c r="V56" s="3" t="str">
        <f>IF(Table4[[#This Row],[Observed? Y or N]]="N", "-20", "0")</f>
        <v>0</v>
      </c>
      <c r="W56" s="3">
        <f>Table4[[#This Row],[Total]]+Table4[[#This Row],[Penalty Applied]]-Table4[[#This Row],[6]]</f>
        <v>123</v>
      </c>
      <c r="X56" s="3" t="s">
        <v>1</v>
      </c>
    </row>
    <row r="57" spans="5:24" ht="15" thickBot="1" x14ac:dyDescent="0.35">
      <c r="E57" s="97" t="s">
        <v>56</v>
      </c>
      <c r="F57" s="76" t="s">
        <v>29</v>
      </c>
      <c r="G57" s="98">
        <v>9</v>
      </c>
      <c r="H57" s="98">
        <v>11</v>
      </c>
      <c r="I57" s="98">
        <v>17</v>
      </c>
      <c r="J57" s="98">
        <v>15</v>
      </c>
      <c r="K57" s="98">
        <v>15</v>
      </c>
      <c r="L57" s="98">
        <v>17</v>
      </c>
      <c r="M57" s="98">
        <v>7</v>
      </c>
      <c r="N57" s="98"/>
      <c r="O57" s="98">
        <v>10</v>
      </c>
      <c r="P57" s="98">
        <v>11</v>
      </c>
      <c r="Q57" s="98"/>
      <c r="R57" s="97"/>
      <c r="S57" s="79">
        <f>SUM(G57:R57)</f>
        <v>112</v>
      </c>
      <c r="T57" s="78">
        <f>COUNTIF(G57:R57,"&gt;1")</f>
        <v>9</v>
      </c>
      <c r="U57" s="9" t="s">
        <v>220</v>
      </c>
      <c r="V57" s="3" t="str">
        <f>IF(Table4[[#This Row],[Observed? Y or N]]="N", "-20", "0")</f>
        <v>0</v>
      </c>
      <c r="W57" s="3">
        <f>Table4[[#This Row],[Total]]+Table4[[#This Row],[Penalty Applied]]-Table4[[#This Row],[7]]</f>
        <v>105</v>
      </c>
      <c r="X57" s="3" t="s">
        <v>2</v>
      </c>
    </row>
    <row r="58" spans="5:24" ht="15" thickBot="1" x14ac:dyDescent="0.35">
      <c r="E58" s="97" t="s">
        <v>77</v>
      </c>
      <c r="F58" s="76" t="s">
        <v>84</v>
      </c>
      <c r="G58" s="98"/>
      <c r="H58" s="98">
        <v>13</v>
      </c>
      <c r="I58" s="98"/>
      <c r="J58" s="98">
        <v>13</v>
      </c>
      <c r="K58" s="98"/>
      <c r="L58" s="98">
        <v>8</v>
      </c>
      <c r="M58" s="98"/>
      <c r="N58" s="98">
        <v>9</v>
      </c>
      <c r="O58" s="98">
        <v>11</v>
      </c>
      <c r="P58" s="98">
        <v>15</v>
      </c>
      <c r="Q58" s="98">
        <v>15</v>
      </c>
      <c r="R58" s="97"/>
      <c r="S58" s="79">
        <f>SUM(G58:R58)</f>
        <v>84</v>
      </c>
      <c r="T58" s="78">
        <f>COUNTIF(G58:R58,"&gt;1")</f>
        <v>7</v>
      </c>
      <c r="U58" s="9" t="s">
        <v>220</v>
      </c>
      <c r="V58" s="3" t="str">
        <f>IF(Table4[[#This Row],[Observed? Y or N]]="N", "-20", "0")</f>
        <v>0</v>
      </c>
      <c r="W58" s="3">
        <f>Table4[[#This Row],[Total]]+Table4[[#This Row],[Penalty Applied]]</f>
        <v>84</v>
      </c>
      <c r="X58" s="3"/>
    </row>
    <row r="59" spans="5:24" ht="15" thickBot="1" x14ac:dyDescent="0.35">
      <c r="E59" s="39" t="s">
        <v>106</v>
      </c>
      <c r="F59" s="39" t="s">
        <v>25</v>
      </c>
      <c r="G59" s="40">
        <v>20</v>
      </c>
      <c r="H59" s="40"/>
      <c r="I59" s="40"/>
      <c r="J59" s="40"/>
      <c r="K59" s="40"/>
      <c r="L59" s="40">
        <v>15</v>
      </c>
      <c r="M59" s="40">
        <v>15</v>
      </c>
      <c r="N59" s="40"/>
      <c r="O59" s="40">
        <v>20</v>
      </c>
      <c r="P59" s="40"/>
      <c r="Q59" s="40">
        <v>20</v>
      </c>
      <c r="R59" s="39"/>
      <c r="S59" s="79">
        <f>SUM(G59:R59)</f>
        <v>90</v>
      </c>
      <c r="T59" s="78">
        <f>COUNTIF(G59:R59,"&gt;1")</f>
        <v>5</v>
      </c>
      <c r="U59" s="9" t="s">
        <v>63</v>
      </c>
      <c r="V59" s="43" t="str">
        <f>IF(Table4[[#This Row],[Observed? Y or N]]="N", "-20", "0")</f>
        <v>-20</v>
      </c>
      <c r="W59" s="3">
        <f>Table4[[#This Row],[Total]]+Table4[[#This Row],[Penalty Applied]]</f>
        <v>70</v>
      </c>
      <c r="X59" s="3"/>
    </row>
    <row r="60" spans="5:24" ht="15" thickBot="1" x14ac:dyDescent="0.35">
      <c r="E60" s="39" t="s">
        <v>79</v>
      </c>
      <c r="F60" s="41" t="s">
        <v>26</v>
      </c>
      <c r="G60" s="40">
        <v>11</v>
      </c>
      <c r="H60" s="40">
        <v>9</v>
      </c>
      <c r="I60" s="40">
        <v>11</v>
      </c>
      <c r="J60" s="40"/>
      <c r="K60" s="40">
        <v>13</v>
      </c>
      <c r="L60" s="40">
        <v>10</v>
      </c>
      <c r="M60" s="40"/>
      <c r="N60" s="40"/>
      <c r="O60" s="40">
        <v>9</v>
      </c>
      <c r="P60" s="40"/>
      <c r="Q60" s="40"/>
      <c r="R60" s="39"/>
      <c r="S60" s="79">
        <f>SUM(G60:R60)</f>
        <v>63</v>
      </c>
      <c r="T60" s="78">
        <f>COUNTIF(G60:R60,"&gt;1")</f>
        <v>6</v>
      </c>
      <c r="U60" s="9" t="s">
        <v>63</v>
      </c>
      <c r="V60" s="43" t="str">
        <f>IF(Table4[[#This Row],[Observed? Y or N]]="N", "-20", "0")</f>
        <v>-20</v>
      </c>
      <c r="W60" s="3">
        <f>Table4[[#This Row],[Total]]+Table4[[#This Row],[Penalty Applied]]</f>
        <v>43</v>
      </c>
      <c r="X60" s="3"/>
    </row>
    <row r="61" spans="5:24" ht="15" thickBot="1" x14ac:dyDescent="0.35">
      <c r="E61" s="39" t="s">
        <v>135</v>
      </c>
      <c r="F61" s="41" t="s">
        <v>84</v>
      </c>
      <c r="G61" s="40"/>
      <c r="H61" s="40">
        <v>15</v>
      </c>
      <c r="I61" s="40"/>
      <c r="J61" s="40"/>
      <c r="K61" s="40"/>
      <c r="L61" s="40"/>
      <c r="M61" s="40">
        <v>5</v>
      </c>
      <c r="N61" s="40">
        <v>11</v>
      </c>
      <c r="O61" s="40"/>
      <c r="P61" s="40">
        <v>17</v>
      </c>
      <c r="Q61" s="40">
        <v>11</v>
      </c>
      <c r="R61" s="39"/>
      <c r="S61" s="79">
        <f>SUM(G61:R61)</f>
        <v>59</v>
      </c>
      <c r="T61" s="78">
        <f>COUNTIF(G61:R61,"&gt;1")</f>
        <v>5</v>
      </c>
      <c r="U61" s="9" t="s">
        <v>63</v>
      </c>
      <c r="V61" s="43" t="str">
        <f>IF(Table4[[#This Row],[Observed? Y or N]]="N", "-20", "0")</f>
        <v>-20</v>
      </c>
      <c r="W61" s="3">
        <f>Table4[[#This Row],[Total]]+Table4[[#This Row],[Penalty Applied]]</f>
        <v>39</v>
      </c>
      <c r="X61" s="3"/>
    </row>
    <row r="62" spans="5:24" ht="16.5" customHeight="1" thickBot="1" x14ac:dyDescent="0.35">
      <c r="E62" s="39" t="s">
        <v>119</v>
      </c>
      <c r="F62" s="39" t="s">
        <v>25</v>
      </c>
      <c r="G62" s="40">
        <v>15</v>
      </c>
      <c r="H62" s="40"/>
      <c r="I62" s="40"/>
      <c r="J62" s="40"/>
      <c r="K62" s="40"/>
      <c r="L62" s="40"/>
      <c r="M62" s="40"/>
      <c r="N62" s="40"/>
      <c r="O62" s="40"/>
      <c r="P62" s="40">
        <v>20</v>
      </c>
      <c r="Q62" s="40">
        <v>13</v>
      </c>
      <c r="R62" s="39"/>
      <c r="S62" s="79">
        <f>SUM(G62:R62)</f>
        <v>48</v>
      </c>
      <c r="T62" s="78">
        <f>COUNTIF(G62:R62,"&gt;1")</f>
        <v>3</v>
      </c>
      <c r="U62" s="9" t="s">
        <v>63</v>
      </c>
      <c r="V62" s="43" t="str">
        <f>IF(Table4[[#This Row],[Observed? Y or N]]="N", "-20", "0")</f>
        <v>-20</v>
      </c>
      <c r="W62" s="3">
        <f>Table4[[#This Row],[Total]]+Table4[[#This Row],[Penalty Applied]]</f>
        <v>28</v>
      </c>
      <c r="X62" s="3"/>
    </row>
    <row r="63" spans="5:24" ht="15" thickBot="1" x14ac:dyDescent="0.35">
      <c r="E63" s="97" t="s">
        <v>95</v>
      </c>
      <c r="F63" s="97" t="s">
        <v>87</v>
      </c>
      <c r="G63" s="98"/>
      <c r="H63" s="98"/>
      <c r="I63" s="98"/>
      <c r="J63" s="98"/>
      <c r="K63" s="98"/>
      <c r="L63" s="98"/>
      <c r="M63" s="98">
        <v>10</v>
      </c>
      <c r="N63" s="98"/>
      <c r="O63" s="98">
        <v>13</v>
      </c>
      <c r="P63" s="98"/>
      <c r="Q63" s="98"/>
      <c r="R63" s="97"/>
      <c r="S63" s="79">
        <f>SUM(G63:R63)</f>
        <v>23</v>
      </c>
      <c r="T63" s="78">
        <f>COUNTIF(G63:R63,"&gt;1")</f>
        <v>2</v>
      </c>
      <c r="U63" s="9" t="s">
        <v>220</v>
      </c>
      <c r="V63" s="121" t="str">
        <f>IF(Table4[[#This Row],[Observed? Y or N]]="N", "-20", "0")</f>
        <v>0</v>
      </c>
      <c r="W63" s="3">
        <f>Table4[[#This Row],[Total]]+Table4[[#This Row],[Penalty Applied]]</f>
        <v>23</v>
      </c>
      <c r="X63" s="3"/>
    </row>
    <row r="64" spans="5:24" ht="15" thickBot="1" x14ac:dyDescent="0.35">
      <c r="E64" s="97" t="s">
        <v>173</v>
      </c>
      <c r="F64" s="97" t="s">
        <v>86</v>
      </c>
      <c r="G64" s="98"/>
      <c r="H64" s="98"/>
      <c r="I64" s="98"/>
      <c r="J64" s="98"/>
      <c r="K64" s="98"/>
      <c r="L64" s="98"/>
      <c r="M64" s="98">
        <v>17</v>
      </c>
      <c r="N64" s="98"/>
      <c r="O64" s="98"/>
      <c r="P64" s="98"/>
      <c r="Q64" s="98"/>
      <c r="R64" s="97"/>
      <c r="S64" s="79">
        <f>SUM(G64:R64)</f>
        <v>17</v>
      </c>
      <c r="T64" s="78">
        <f>COUNTIF(G64:R64,"&gt;1")</f>
        <v>1</v>
      </c>
      <c r="U64" s="9" t="s">
        <v>220</v>
      </c>
      <c r="V64" s="3" t="str">
        <f>IF(Table4[[#This Row],[Observed? Y or N]]="N", "-20", "0")</f>
        <v>0</v>
      </c>
      <c r="W64" s="3">
        <f>Table4[[#This Row],[Total]]+Table4[[#This Row],[Penalty Applied]]</f>
        <v>17</v>
      </c>
      <c r="X64" s="3"/>
    </row>
    <row r="65" spans="5:26" ht="15" thickBot="1" x14ac:dyDescent="0.35">
      <c r="E65" s="104" t="s">
        <v>55</v>
      </c>
      <c r="F65" s="104" t="s">
        <v>29</v>
      </c>
      <c r="G65" s="106"/>
      <c r="H65" s="106"/>
      <c r="I65" s="106"/>
      <c r="J65" s="106"/>
      <c r="K65" s="106"/>
      <c r="L65" s="106"/>
      <c r="M65" s="106"/>
      <c r="N65" s="106">
        <v>17</v>
      </c>
      <c r="O65" s="106"/>
      <c r="P65" s="106"/>
      <c r="Q65" s="40"/>
      <c r="R65" s="39"/>
      <c r="S65" s="79">
        <f>SUM(G65:R65)</f>
        <v>17</v>
      </c>
      <c r="T65" s="78">
        <f>COUNTIF(G65:R65,"&gt;1")</f>
        <v>1</v>
      </c>
      <c r="U65" s="9" t="s">
        <v>220</v>
      </c>
      <c r="V65" s="121" t="str">
        <f>IF(Table4[[#This Row],[Observed? Y or N]]="N", "-20", "0")</f>
        <v>0</v>
      </c>
      <c r="W65" s="3">
        <f>Table4[[#This Row],[Total]]+Table4[[#This Row],[Penalty Applied]]</f>
        <v>17</v>
      </c>
      <c r="X65" s="3"/>
    </row>
    <row r="66" spans="5:26" ht="15" thickBot="1" x14ac:dyDescent="0.35">
      <c r="E66" s="39" t="s">
        <v>143</v>
      </c>
      <c r="F66" s="39" t="s">
        <v>84</v>
      </c>
      <c r="G66" s="40"/>
      <c r="H66" s="40"/>
      <c r="I66" s="40"/>
      <c r="J66" s="40"/>
      <c r="K66" s="40"/>
      <c r="L66" s="40"/>
      <c r="M66" s="40">
        <v>4</v>
      </c>
      <c r="N66" s="40">
        <v>8</v>
      </c>
      <c r="O66" s="40"/>
      <c r="P66" s="40">
        <v>13</v>
      </c>
      <c r="Q66" s="40">
        <v>8</v>
      </c>
      <c r="R66" s="39"/>
      <c r="S66" s="79">
        <f>SUM(G66:R66)</f>
        <v>33</v>
      </c>
      <c r="T66" s="78">
        <f>COUNTIF(G66:R66,"&gt;1")</f>
        <v>4</v>
      </c>
      <c r="U66" s="9" t="s">
        <v>63</v>
      </c>
      <c r="V66" s="43" t="str">
        <f>IF(Table4[[#This Row],[Observed? Y or N]]="N", "-20", "0")</f>
        <v>-20</v>
      </c>
      <c r="W66" s="3">
        <f>Table4[[#This Row],[Total]]+Table4[[#This Row],[Penalty Applied]]</f>
        <v>13</v>
      </c>
      <c r="X66" s="3"/>
    </row>
    <row r="67" spans="5:26" ht="15" thickBot="1" x14ac:dyDescent="0.35">
      <c r="E67" s="97" t="s">
        <v>199</v>
      </c>
      <c r="F67" s="76" t="s">
        <v>25</v>
      </c>
      <c r="G67" s="98"/>
      <c r="H67" s="98"/>
      <c r="I67" s="98"/>
      <c r="J67" s="98"/>
      <c r="K67" s="98"/>
      <c r="L67" s="98">
        <v>11</v>
      </c>
      <c r="M67" s="98"/>
      <c r="N67" s="98"/>
      <c r="O67" s="98"/>
      <c r="P67" s="98"/>
      <c r="Q67" s="98"/>
      <c r="R67" s="97"/>
      <c r="S67" s="79">
        <f>SUM(G67:R67)</f>
        <v>11</v>
      </c>
      <c r="T67" s="78">
        <f>COUNTIF(G67:R67,"&gt;1")</f>
        <v>1</v>
      </c>
      <c r="U67" s="9" t="s">
        <v>220</v>
      </c>
      <c r="V67" s="121" t="str">
        <f>IF(Table4[[#This Row],[Observed? Y or N]]="N", "-20", "0")</f>
        <v>0</v>
      </c>
      <c r="W67" s="3">
        <f>Table4[[#This Row],[Total]]+Table4[[#This Row],[Penalty Applied]]</f>
        <v>11</v>
      </c>
      <c r="X67" s="3"/>
    </row>
    <row r="68" spans="5:26" ht="15" thickBot="1" x14ac:dyDescent="0.35">
      <c r="E68" s="39" t="s">
        <v>101</v>
      </c>
      <c r="F68" s="39" t="s">
        <v>84</v>
      </c>
      <c r="G68" s="40">
        <v>10</v>
      </c>
      <c r="H68" s="40"/>
      <c r="I68" s="40">
        <v>13</v>
      </c>
      <c r="J68" s="40"/>
      <c r="K68" s="40"/>
      <c r="L68" s="40"/>
      <c r="M68" s="40"/>
      <c r="N68" s="40">
        <v>7</v>
      </c>
      <c r="O68" s="40"/>
      <c r="P68" s="40"/>
      <c r="Q68" s="40"/>
      <c r="R68" s="39"/>
      <c r="S68" s="79">
        <f>SUM(G68:R68)</f>
        <v>30</v>
      </c>
      <c r="T68" s="78">
        <f>COUNTIF(G68:R68,"&gt;1")</f>
        <v>3</v>
      </c>
      <c r="U68" s="9" t="s">
        <v>63</v>
      </c>
      <c r="V68" s="43" t="str">
        <f>IF(Table4[[#This Row],[Observed? Y or N]]="N", "-20", "0")</f>
        <v>-20</v>
      </c>
      <c r="W68" s="3">
        <f>Table4[[#This Row],[Total]]+Table4[[#This Row],[Penalty Applied]]</f>
        <v>10</v>
      </c>
      <c r="X68" s="3"/>
    </row>
    <row r="69" spans="5:26" ht="15" thickBot="1" x14ac:dyDescent="0.35">
      <c r="E69" s="97" t="s">
        <v>136</v>
      </c>
      <c r="F69" s="76" t="s">
        <v>25</v>
      </c>
      <c r="G69" s="98"/>
      <c r="H69" s="98">
        <v>10</v>
      </c>
      <c r="I69" s="98"/>
      <c r="J69" s="98"/>
      <c r="K69" s="98"/>
      <c r="L69" s="98"/>
      <c r="M69" s="98"/>
      <c r="N69" s="98"/>
      <c r="O69" s="98"/>
      <c r="P69" s="98"/>
      <c r="Q69" s="98"/>
      <c r="R69" s="39"/>
      <c r="S69" s="79">
        <f>SUM(G69:R69)</f>
        <v>10</v>
      </c>
      <c r="T69" s="78">
        <f>COUNTIF(G69:R69,"&gt;1")</f>
        <v>1</v>
      </c>
      <c r="U69" s="9" t="s">
        <v>220</v>
      </c>
      <c r="V69" s="3" t="str">
        <f>IF(Table4[[#This Row],[Observed? Y or N]]="N", "-20", "0")</f>
        <v>0</v>
      </c>
      <c r="W69" s="3">
        <f>Table4[[#This Row],[Total]]+Table4[[#This Row],[Penalty Applied]]</f>
        <v>10</v>
      </c>
      <c r="X69" s="3"/>
    </row>
    <row r="70" spans="5:26" ht="15" thickBot="1" x14ac:dyDescent="0.35">
      <c r="E70" s="97" t="s">
        <v>176</v>
      </c>
      <c r="F70" s="76" t="s">
        <v>30</v>
      </c>
      <c r="G70" s="98"/>
      <c r="H70" s="98"/>
      <c r="I70" s="98"/>
      <c r="J70" s="98"/>
      <c r="K70" s="98"/>
      <c r="L70" s="98"/>
      <c r="M70" s="98">
        <v>6</v>
      </c>
      <c r="N70" s="98"/>
      <c r="O70" s="98"/>
      <c r="P70" s="98"/>
      <c r="Q70" s="98"/>
      <c r="R70" s="97"/>
      <c r="S70" s="79">
        <f>SUM(G70:R70)</f>
        <v>6</v>
      </c>
      <c r="T70" s="78">
        <f>COUNTIF(G70:R70,"&gt;1")</f>
        <v>1</v>
      </c>
      <c r="U70" s="9" t="s">
        <v>220</v>
      </c>
      <c r="V70" s="121" t="str">
        <f>IF(Table4[[#This Row],[Observed? Y or N]]="N", "-20", "0")</f>
        <v>0</v>
      </c>
      <c r="W70" s="3">
        <f>Table4[[#This Row],[Total]]+Table4[[#This Row],[Penalty Applied]]</f>
        <v>6</v>
      </c>
      <c r="X70" s="3"/>
    </row>
    <row r="71" spans="5:26" ht="15" thickBot="1" x14ac:dyDescent="0.35">
      <c r="E71" s="104" t="s">
        <v>123</v>
      </c>
      <c r="F71" s="104" t="s">
        <v>97</v>
      </c>
      <c r="G71" s="106"/>
      <c r="H71" s="106"/>
      <c r="I71" s="106"/>
      <c r="J71" s="106"/>
      <c r="K71" s="106"/>
      <c r="L71" s="106"/>
      <c r="M71" s="106"/>
      <c r="N71" s="106">
        <v>6</v>
      </c>
      <c r="O71" s="106"/>
      <c r="P71" s="106"/>
      <c r="Q71" s="106"/>
      <c r="R71" s="104"/>
      <c r="S71" s="107">
        <f>SUM(G71:R71)</f>
        <v>6</v>
      </c>
      <c r="T71" s="78">
        <f>COUNTIF(G71:R71,"&gt;1")</f>
        <v>1</v>
      </c>
      <c r="U71" s="9" t="s">
        <v>220</v>
      </c>
      <c r="V71" s="121" t="str">
        <f>IF(Table4[[#This Row],[Observed? Y or N]]="N", "-20", "0")</f>
        <v>0</v>
      </c>
      <c r="W71" s="3">
        <f>Table4[[#This Row],[Total]]+Table4[[#This Row],[Penalty Applied]]</f>
        <v>6</v>
      </c>
      <c r="X71" s="3"/>
    </row>
    <row r="72" spans="5:26" ht="15" thickBot="1" x14ac:dyDescent="0.35">
      <c r="E72" s="97" t="s">
        <v>238</v>
      </c>
      <c r="F72" s="97" t="s">
        <v>85</v>
      </c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>
        <v>6</v>
      </c>
      <c r="R72" s="97"/>
      <c r="S72" s="79">
        <f>SUM(G72:R72)</f>
        <v>6</v>
      </c>
      <c r="T72" s="78">
        <f>COUNTIF(G72:R72,"&gt;1")</f>
        <v>1</v>
      </c>
      <c r="U72" s="9" t="s">
        <v>220</v>
      </c>
      <c r="V72" s="121" t="str">
        <f>IF(Table4[[#This Row],[Observed? Y or N]]="N", "-20", "0")</f>
        <v>0</v>
      </c>
      <c r="W72" s="3">
        <f>Table4[[#This Row],[Total]]+Table4[[#This Row],[Penalty Applied]]</f>
        <v>6</v>
      </c>
      <c r="X72" s="3"/>
    </row>
    <row r="73" spans="5:26" ht="15" thickBot="1" x14ac:dyDescent="0.35">
      <c r="E73" s="39" t="s">
        <v>212</v>
      </c>
      <c r="F73" s="39" t="s">
        <v>84</v>
      </c>
      <c r="G73" s="40"/>
      <c r="H73" s="40"/>
      <c r="I73" s="40"/>
      <c r="J73" s="40"/>
      <c r="K73" s="40"/>
      <c r="L73" s="40"/>
      <c r="M73" s="40">
        <v>20</v>
      </c>
      <c r="N73" s="40"/>
      <c r="O73" s="40"/>
      <c r="P73" s="40"/>
      <c r="Q73" s="40"/>
      <c r="R73" s="39"/>
      <c r="S73" s="79">
        <f>SUM(G73:R73)</f>
        <v>20</v>
      </c>
      <c r="T73" s="78">
        <f>COUNTIF(G73:R73,"&gt;1")</f>
        <v>1</v>
      </c>
      <c r="U73" s="9" t="s">
        <v>63</v>
      </c>
      <c r="V73" s="43" t="str">
        <f>IF(Table4[[#This Row],[Observed? Y or N]]="N", "-20", "0")</f>
        <v>-20</v>
      </c>
      <c r="W73" s="3">
        <f>Table4[[#This Row],[Total]]+Table4[[#This Row],[Penalty Applied]]</f>
        <v>0</v>
      </c>
      <c r="X73" s="3"/>
    </row>
    <row r="74" spans="5:26" ht="15" thickBot="1" x14ac:dyDescent="0.35">
      <c r="E74" s="39" t="s">
        <v>214</v>
      </c>
      <c r="F74" s="39" t="s">
        <v>29</v>
      </c>
      <c r="G74" s="40"/>
      <c r="H74" s="40"/>
      <c r="I74" s="40"/>
      <c r="J74" s="40"/>
      <c r="K74" s="40"/>
      <c r="L74" s="40"/>
      <c r="M74" s="40"/>
      <c r="N74" s="40">
        <v>20</v>
      </c>
      <c r="O74" s="40"/>
      <c r="P74" s="40"/>
      <c r="Q74" s="40"/>
      <c r="R74" s="39"/>
      <c r="S74" s="79">
        <f>SUM(G74:R74)</f>
        <v>20</v>
      </c>
      <c r="T74" s="78">
        <f>COUNTIF(G74:R74,"&gt;1")</f>
        <v>1</v>
      </c>
      <c r="U74" s="9" t="s">
        <v>63</v>
      </c>
      <c r="V74" s="43" t="str">
        <f>IF(Table4[[#This Row],[Observed? Y or N]]="N", "-20", "0")</f>
        <v>-20</v>
      </c>
      <c r="W74" s="3">
        <f>Table4[[#This Row],[Total]]+Table4[[#This Row],[Penalty Applied]]</f>
        <v>0</v>
      </c>
      <c r="X74" s="3"/>
    </row>
    <row r="75" spans="5:26" ht="15" thickBot="1" x14ac:dyDescent="0.35">
      <c r="E75" s="39" t="s">
        <v>93</v>
      </c>
      <c r="F75" s="41" t="s">
        <v>86</v>
      </c>
      <c r="G75" s="40">
        <v>13</v>
      </c>
      <c r="H75" s="40"/>
      <c r="I75" s="40"/>
      <c r="J75" s="40"/>
      <c r="K75" s="40"/>
      <c r="L75" s="40"/>
      <c r="M75" s="40"/>
      <c r="N75" s="40"/>
      <c r="O75" s="40"/>
      <c r="P75" s="40"/>
      <c r="Q75" s="40">
        <v>7</v>
      </c>
      <c r="R75" s="39"/>
      <c r="S75" s="79">
        <f>SUM(G75:R75)</f>
        <v>20</v>
      </c>
      <c r="T75" s="78">
        <f>COUNTIF(G75:R75,"&gt;1")</f>
        <v>2</v>
      </c>
      <c r="U75" s="9" t="s">
        <v>63</v>
      </c>
      <c r="V75" s="43" t="str">
        <f>IF(Table4[[#This Row],[Observed? Y or N]]="N", "-20", "0")</f>
        <v>-20</v>
      </c>
      <c r="W75" s="3">
        <f>Table4[[#This Row],[Total]]+Table4[[#This Row],[Penalty Applied]]</f>
        <v>0</v>
      </c>
      <c r="X75" s="3"/>
    </row>
    <row r="76" spans="5:26" ht="15" thickBot="1" x14ac:dyDescent="0.35">
      <c r="E76" s="39" t="s">
        <v>237</v>
      </c>
      <c r="F76" s="41" t="s">
        <v>84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>
        <v>17</v>
      </c>
      <c r="R76" s="39"/>
      <c r="S76" s="79">
        <f>SUM(G76:R76)</f>
        <v>17</v>
      </c>
      <c r="T76" s="78">
        <f>COUNTIF(G76:R76,"&gt;1")</f>
        <v>1</v>
      </c>
      <c r="U76" s="9" t="s">
        <v>63</v>
      </c>
      <c r="V76" s="43" t="str">
        <f>IF(Table4[[#This Row],[Observed? Y or N]]="N", "-20", "0")</f>
        <v>-20</v>
      </c>
      <c r="W76" s="3">
        <f>Table4[[#This Row],[Total]]+Table4[[#This Row],[Penalty Applied]]</f>
        <v>-3</v>
      </c>
      <c r="X76" s="3"/>
    </row>
    <row r="77" spans="5:26" ht="15.6" thickBot="1" x14ac:dyDescent="0.35">
      <c r="E77" s="39" t="s">
        <v>221</v>
      </c>
      <c r="F77" s="39" t="s">
        <v>97</v>
      </c>
      <c r="G77" s="40"/>
      <c r="H77" s="40"/>
      <c r="I77" s="40"/>
      <c r="J77" s="40"/>
      <c r="K77" s="40"/>
      <c r="L77" s="40"/>
      <c r="M77" s="40"/>
      <c r="N77" s="40">
        <v>15</v>
      </c>
      <c r="O77" s="40"/>
      <c r="P77" s="40"/>
      <c r="Q77" s="40"/>
      <c r="R77" s="39"/>
      <c r="S77" s="79">
        <f>SUM(G77:R77)</f>
        <v>15</v>
      </c>
      <c r="T77" s="78">
        <f>COUNTIF(G77:R77,"&gt;1")</f>
        <v>1</v>
      </c>
      <c r="U77" s="9" t="s">
        <v>63</v>
      </c>
      <c r="V77" s="43" t="str">
        <f>IF(Table4[[#This Row],[Observed? Y or N]]="N", "-20", "0")</f>
        <v>-20</v>
      </c>
      <c r="W77" s="3">
        <f>Table4[[#This Row],[Total]]+Table4[[#This Row],[Penalty Applied]]</f>
        <v>-5</v>
      </c>
      <c r="X77" s="3"/>
      <c r="Y77" s="33"/>
    </row>
    <row r="78" spans="5:26" ht="15.6" thickBot="1" x14ac:dyDescent="0.35">
      <c r="E78" s="39" t="s">
        <v>198</v>
      </c>
      <c r="F78" s="41" t="s">
        <v>29</v>
      </c>
      <c r="G78" s="40"/>
      <c r="H78" s="40"/>
      <c r="I78" s="40"/>
      <c r="J78" s="40"/>
      <c r="K78" s="40"/>
      <c r="L78" s="40">
        <v>13</v>
      </c>
      <c r="M78" s="40"/>
      <c r="N78" s="40"/>
      <c r="O78" s="40"/>
      <c r="P78" s="40"/>
      <c r="Q78" s="40"/>
      <c r="R78" s="39"/>
      <c r="S78" s="79">
        <f>SUM(G78:R78)</f>
        <v>13</v>
      </c>
      <c r="T78" s="78">
        <f>COUNTIF(G78:R78,"&gt;1")</f>
        <v>1</v>
      </c>
      <c r="U78" s="9" t="s">
        <v>63</v>
      </c>
      <c r="V78" s="43" t="str">
        <f>IF(Table4[[#This Row],[Observed? Y or N]]="N", "-20", "0")</f>
        <v>-20</v>
      </c>
      <c r="W78" s="3">
        <f>Table4[[#This Row],[Total]]+Table4[[#This Row],[Penalty Applied]]</f>
        <v>-7</v>
      </c>
      <c r="X78" s="3"/>
      <c r="Y78" s="33"/>
    </row>
    <row r="79" spans="5:26" ht="15.6" thickBot="1" x14ac:dyDescent="0.35">
      <c r="E79" s="39" t="s">
        <v>139</v>
      </c>
      <c r="F79" s="41" t="s">
        <v>84</v>
      </c>
      <c r="G79" s="40"/>
      <c r="H79" s="40"/>
      <c r="I79" s="40"/>
      <c r="J79" s="40"/>
      <c r="K79" s="40"/>
      <c r="L79" s="40"/>
      <c r="M79" s="40">
        <v>13</v>
      </c>
      <c r="N79" s="40"/>
      <c r="O79" s="40"/>
      <c r="P79" s="40"/>
      <c r="Q79" s="40"/>
      <c r="R79" s="39"/>
      <c r="S79" s="79">
        <f>SUM(G79:R79)</f>
        <v>13</v>
      </c>
      <c r="T79" s="78">
        <f>COUNTIF(G79:R79,"&gt;1")</f>
        <v>1</v>
      </c>
      <c r="U79" s="9" t="s">
        <v>63</v>
      </c>
      <c r="V79" s="43" t="str">
        <f>IF(Table4[[#This Row],[Observed? Y or N]]="N", "-20", "0")</f>
        <v>-20</v>
      </c>
      <c r="W79" s="3">
        <f>Table4[[#This Row],[Total]]+Table4[[#This Row],[Penalty Applied]]</f>
        <v>-7</v>
      </c>
      <c r="X79" s="3"/>
      <c r="Z79" s="33"/>
    </row>
    <row r="80" spans="5:26" ht="15.6" thickBot="1" x14ac:dyDescent="0.35">
      <c r="E80" s="39" t="s">
        <v>83</v>
      </c>
      <c r="F80" s="41" t="s">
        <v>84</v>
      </c>
      <c r="G80" s="40"/>
      <c r="H80" s="40"/>
      <c r="I80" s="40"/>
      <c r="J80" s="40"/>
      <c r="K80" s="40"/>
      <c r="L80" s="40"/>
      <c r="M80" s="40">
        <v>11</v>
      </c>
      <c r="N80" s="40"/>
      <c r="O80" s="40"/>
      <c r="P80" s="40"/>
      <c r="Q80" s="40"/>
      <c r="R80" s="39"/>
      <c r="S80" s="79">
        <f>SUM(G80:R80)</f>
        <v>11</v>
      </c>
      <c r="T80" s="78">
        <f>COUNTIF(G80:R80,"&gt;1")</f>
        <v>1</v>
      </c>
      <c r="U80" s="9" t="s">
        <v>63</v>
      </c>
      <c r="V80" s="43" t="str">
        <f>IF(Table4[[#This Row],[Observed? Y or N]]="N", "-20", "0")</f>
        <v>-20</v>
      </c>
      <c r="W80" s="3">
        <f>Table4[[#This Row],[Total]]+Table4[[#This Row],[Penalty Applied]]</f>
        <v>-9</v>
      </c>
      <c r="X80" s="3"/>
      <c r="Z80" s="33"/>
    </row>
    <row r="81" spans="5:26" ht="15.6" thickBot="1" x14ac:dyDescent="0.35">
      <c r="E81" s="39" t="s">
        <v>137</v>
      </c>
      <c r="F81" s="39" t="s">
        <v>84</v>
      </c>
      <c r="G81" s="40"/>
      <c r="H81" s="40">
        <v>8</v>
      </c>
      <c r="I81" s="40"/>
      <c r="J81" s="40"/>
      <c r="K81" s="40"/>
      <c r="L81" s="40"/>
      <c r="M81" s="40"/>
      <c r="N81" s="40"/>
      <c r="O81" s="40"/>
      <c r="P81" s="40"/>
      <c r="Q81" s="40"/>
      <c r="R81" s="39"/>
      <c r="S81" s="79">
        <f>SUM(G81:R81)</f>
        <v>8</v>
      </c>
      <c r="T81" s="78">
        <f>COUNTIF(G81:R81,"&gt;1")</f>
        <v>1</v>
      </c>
      <c r="U81" s="9" t="s">
        <v>63</v>
      </c>
      <c r="V81" s="43" t="str">
        <f>IF(Table4[[#This Row],[Observed? Y or N]]="N", "-20", "0")</f>
        <v>-20</v>
      </c>
      <c r="W81" s="3">
        <f>Table4[[#This Row],[Total]]+Table4[[#This Row],[Penalty Applied]]</f>
        <v>-12</v>
      </c>
      <c r="X81" s="3"/>
      <c r="Z81" s="33"/>
    </row>
    <row r="82" spans="5:26" ht="15" x14ac:dyDescent="0.3">
      <c r="E82" s="39" t="s">
        <v>213</v>
      </c>
      <c r="F82" s="41" t="s">
        <v>25</v>
      </c>
      <c r="G82" s="40"/>
      <c r="H82" s="40"/>
      <c r="I82" s="40"/>
      <c r="J82" s="40"/>
      <c r="K82" s="40"/>
      <c r="L82" s="40"/>
      <c r="M82" s="40">
        <v>8</v>
      </c>
      <c r="N82" s="40"/>
      <c r="O82" s="40"/>
      <c r="P82" s="40"/>
      <c r="Q82" s="40"/>
      <c r="R82" s="39"/>
      <c r="S82" s="79">
        <f>SUM(G82:R82)</f>
        <v>8</v>
      </c>
      <c r="T82" s="78">
        <f>COUNTIF(G82:R82,"&gt;1")</f>
        <v>1</v>
      </c>
      <c r="U82" s="9" t="s">
        <v>63</v>
      </c>
      <c r="V82" s="43" t="str">
        <f>IF(Table4[[#This Row],[Observed? Y or N]]="N", "-20", "0")</f>
        <v>-20</v>
      </c>
      <c r="W82" s="3">
        <f>Table4[[#This Row],[Total]]+Table4[[#This Row],[Penalty Applied]]</f>
        <v>-12</v>
      </c>
      <c r="X82" s="3"/>
      <c r="Z82" s="33"/>
    </row>
    <row r="83" spans="5:26" x14ac:dyDescent="0.3">
      <c r="E83" s="9"/>
      <c r="Q83" s="9"/>
      <c r="R83" s="10"/>
    </row>
    <row r="84" spans="5:26" ht="15" thickBot="1" x14ac:dyDescent="0.35"/>
    <row r="85" spans="5:26" ht="154.19999999999999" thickBot="1" x14ac:dyDescent="0.35">
      <c r="E85" s="36" t="s">
        <v>35</v>
      </c>
      <c r="F85" s="36" t="s">
        <v>91</v>
      </c>
      <c r="G85" s="35" t="s">
        <v>65</v>
      </c>
      <c r="H85" s="35" t="s">
        <v>66</v>
      </c>
      <c r="I85" s="35" t="s">
        <v>67</v>
      </c>
      <c r="J85" s="35" t="s">
        <v>68</v>
      </c>
      <c r="K85" s="35" t="s">
        <v>69</v>
      </c>
      <c r="L85" s="35" t="s">
        <v>70</v>
      </c>
      <c r="M85" s="35" t="s">
        <v>71</v>
      </c>
      <c r="N85" s="35" t="s">
        <v>72</v>
      </c>
      <c r="O85" s="35" t="s">
        <v>73</v>
      </c>
      <c r="P85" s="35" t="s">
        <v>74</v>
      </c>
      <c r="Q85" s="35" t="s">
        <v>75</v>
      </c>
      <c r="R85" s="35" t="s">
        <v>76</v>
      </c>
      <c r="S85" s="7" t="s">
        <v>31</v>
      </c>
      <c r="T85" s="7" t="s">
        <v>42</v>
      </c>
      <c r="U85" s="54" t="s">
        <v>61</v>
      </c>
      <c r="V85" s="7" t="s">
        <v>64</v>
      </c>
      <c r="W85" s="32" t="s">
        <v>62</v>
      </c>
      <c r="X85" s="32" t="s">
        <v>15</v>
      </c>
    </row>
    <row r="86" spans="5:26" ht="15" thickBot="1" x14ac:dyDescent="0.35">
      <c r="E86" s="97" t="s">
        <v>95</v>
      </c>
      <c r="F86" s="78" t="s">
        <v>87</v>
      </c>
      <c r="G86" s="102">
        <v>17</v>
      </c>
      <c r="H86" s="102"/>
      <c r="I86" s="102">
        <v>9</v>
      </c>
      <c r="J86" s="102">
        <v>17</v>
      </c>
      <c r="K86" s="102">
        <v>17</v>
      </c>
      <c r="L86" s="102">
        <v>20</v>
      </c>
      <c r="M86" s="102"/>
      <c r="N86" s="102">
        <v>17</v>
      </c>
      <c r="O86" s="98"/>
      <c r="P86" s="102">
        <v>15</v>
      </c>
      <c r="Q86" s="102">
        <v>11</v>
      </c>
      <c r="R86" s="103">
        <v>9</v>
      </c>
      <c r="S86" s="78">
        <f>SUM(Table5[[#This Row],[Club]:[12]])</f>
        <v>132</v>
      </c>
      <c r="T86" s="78">
        <f>COUNTIF(G86:R86,"&gt;1")</f>
        <v>9</v>
      </c>
      <c r="U86" s="9" t="s">
        <v>220</v>
      </c>
      <c r="V86" s="2" t="str">
        <f>IF(Table5[[#This Row],[Observed? Y or N]]="N", "-20", "0")</f>
        <v>0</v>
      </c>
      <c r="W86" s="3">
        <f>Table5[[#This Row],[Total]]+Table5[[#This Row],[Penalty Applied]]-Table5[[#This Row],[3]]</f>
        <v>123</v>
      </c>
      <c r="X86" s="2" t="s">
        <v>0</v>
      </c>
    </row>
    <row r="87" spans="5:26" ht="15" thickBot="1" x14ac:dyDescent="0.35">
      <c r="E87" s="97" t="s">
        <v>173</v>
      </c>
      <c r="F87" s="97" t="s">
        <v>86</v>
      </c>
      <c r="G87" s="98"/>
      <c r="H87" s="98"/>
      <c r="I87" s="98">
        <v>13</v>
      </c>
      <c r="J87" s="98">
        <v>20</v>
      </c>
      <c r="K87" s="98">
        <v>15</v>
      </c>
      <c r="L87" s="98"/>
      <c r="M87" s="98"/>
      <c r="N87" s="98">
        <v>20</v>
      </c>
      <c r="O87" s="98"/>
      <c r="P87" s="98"/>
      <c r="Q87" s="98"/>
      <c r="R87" s="97">
        <v>13</v>
      </c>
      <c r="S87" s="78">
        <f>SUM(Table5[[#This Row],[Club]:[12]])</f>
        <v>81</v>
      </c>
      <c r="T87" s="76">
        <f>COUNTIF(G87:R87,"&gt;1")</f>
        <v>5</v>
      </c>
      <c r="U87" s="9" t="s">
        <v>220</v>
      </c>
      <c r="V87" s="3" t="str">
        <f>IF(Table5[[#This Row],[Observed? Y or N]]="N", "-20", "0")</f>
        <v>0</v>
      </c>
      <c r="W87" s="3">
        <f>Table5[[#This Row],[Total]]+Table5[[#This Row],[Penalty Applied]]-Table5[[#This Row],[3]]</f>
        <v>68</v>
      </c>
      <c r="X87" s="3" t="s">
        <v>1</v>
      </c>
    </row>
    <row r="88" spans="5:26" x14ac:dyDescent="0.3">
      <c r="E88" s="39" t="s">
        <v>83</v>
      </c>
      <c r="F88" s="39" t="s">
        <v>84</v>
      </c>
      <c r="G88" s="40">
        <v>20</v>
      </c>
      <c r="H88" s="40">
        <v>17</v>
      </c>
      <c r="I88" s="40">
        <v>11</v>
      </c>
      <c r="J88" s="40">
        <v>15</v>
      </c>
      <c r="K88" s="40"/>
      <c r="L88" s="40">
        <v>17</v>
      </c>
      <c r="M88" s="40"/>
      <c r="N88" s="40"/>
      <c r="O88" s="40"/>
      <c r="P88" s="40"/>
      <c r="Q88" s="40"/>
      <c r="R88" s="39">
        <v>11</v>
      </c>
      <c r="S88" s="42">
        <f>SUM(G88:R88)</f>
        <v>91</v>
      </c>
      <c r="T88" s="41">
        <f>COUNTIF(G88:R88,"&gt;1")</f>
        <v>6</v>
      </c>
      <c r="U88" s="9" t="s">
        <v>63</v>
      </c>
      <c r="V88" s="43" t="str">
        <f>IF(Table5[[#This Row],[Observed? Y or N]]="N", "-20", "0")</f>
        <v>-20</v>
      </c>
      <c r="W88" s="3">
        <f>Table5[[#This Row],[Total]]+Table5[[#This Row],[Penalty Applied]]-Table5[[#This Row],[3]]</f>
        <v>60</v>
      </c>
      <c r="X88" s="3" t="s">
        <v>2</v>
      </c>
    </row>
    <row r="89" spans="5:26" x14ac:dyDescent="0.3">
      <c r="E89" s="97" t="s">
        <v>138</v>
      </c>
      <c r="F89" s="76" t="s">
        <v>26</v>
      </c>
      <c r="G89" s="98"/>
      <c r="H89" s="98">
        <v>15</v>
      </c>
      <c r="I89" s="98">
        <v>15</v>
      </c>
      <c r="J89" s="98"/>
      <c r="K89" s="98"/>
      <c r="L89" s="98"/>
      <c r="M89" s="98"/>
      <c r="N89" s="98"/>
      <c r="O89" s="98"/>
      <c r="P89" s="98">
        <v>20</v>
      </c>
      <c r="Q89" s="98"/>
      <c r="R89" s="97">
        <v>20</v>
      </c>
      <c r="S89" s="76">
        <f>SUM(G89:R89)</f>
        <v>70</v>
      </c>
      <c r="T89" s="76">
        <f>COUNTIF(G89:R89,"&gt;1")</f>
        <v>4</v>
      </c>
      <c r="U89" s="9" t="s">
        <v>220</v>
      </c>
      <c r="V89" s="3" t="str">
        <f>IF(Table5[[#This Row],[Observed? Y or N]]="N", "-20", "0")</f>
        <v>0</v>
      </c>
      <c r="W89" s="3">
        <f>Table5[[#This Row],[Total]]+Table5[[#This Row],[Penalty Applied]]-Table5[[#This Row],[3]]</f>
        <v>55</v>
      </c>
      <c r="X89" s="3"/>
    </row>
    <row r="90" spans="5:26" x14ac:dyDescent="0.3">
      <c r="E90" s="39" t="s">
        <v>227</v>
      </c>
      <c r="F90" s="41" t="s">
        <v>29</v>
      </c>
      <c r="G90" s="40"/>
      <c r="H90" s="40"/>
      <c r="I90" s="40"/>
      <c r="J90" s="40"/>
      <c r="K90" s="40"/>
      <c r="L90" s="40"/>
      <c r="M90" s="40"/>
      <c r="N90" s="40"/>
      <c r="O90" s="40"/>
      <c r="P90" s="40">
        <v>17</v>
      </c>
      <c r="Q90" s="40">
        <v>20</v>
      </c>
      <c r="R90" s="39">
        <v>17</v>
      </c>
      <c r="S90" s="41">
        <f>SUM(G90:R90)</f>
        <v>54</v>
      </c>
      <c r="T90" s="41">
        <f>COUNTIF(G90:R90,"&gt;1")</f>
        <v>3</v>
      </c>
      <c r="U90" s="9" t="s">
        <v>63</v>
      </c>
      <c r="V90" s="43" t="str">
        <f>IF(Table5[[#This Row],[Observed? Y or N]]="N", "-20", "0")</f>
        <v>-20</v>
      </c>
      <c r="W90" s="3">
        <f>Table5[[#This Row],[Total]]+Table5[[#This Row],[Penalty Applied]]-Table5[[#This Row],[3]]</f>
        <v>34</v>
      </c>
      <c r="X90" s="3"/>
    </row>
    <row r="91" spans="5:26" x14ac:dyDescent="0.3">
      <c r="E91" s="97" t="s">
        <v>88</v>
      </c>
      <c r="F91" s="97" t="s">
        <v>30</v>
      </c>
      <c r="G91" s="98">
        <v>15</v>
      </c>
      <c r="H91" s="98"/>
      <c r="I91" s="98"/>
      <c r="J91" s="98"/>
      <c r="K91" s="98"/>
      <c r="L91" s="98"/>
      <c r="M91" s="98"/>
      <c r="N91" s="98">
        <v>15</v>
      </c>
      <c r="O91" s="98"/>
      <c r="P91" s="98"/>
      <c r="Q91" s="98"/>
      <c r="R91" s="97"/>
      <c r="S91" s="76">
        <f>SUM(Table5[[#This Row],[Club]:[12]])</f>
        <v>30</v>
      </c>
      <c r="T91" s="76">
        <f>COUNTIF(G91:R91,"&gt;1")</f>
        <v>2</v>
      </c>
      <c r="U91" s="9" t="s">
        <v>220</v>
      </c>
      <c r="V91" s="3" t="str">
        <f>IF(Table5[[#This Row],[Observed? Y or N]]="N", "-20", "0")</f>
        <v>0</v>
      </c>
      <c r="W91" s="3">
        <f>Table5[[#This Row],[Total]]+Table5[[#This Row],[Penalty Applied]]-Table5[[#This Row],[3]]</f>
        <v>30</v>
      </c>
      <c r="X91" s="3"/>
    </row>
    <row r="92" spans="5:26" x14ac:dyDescent="0.3">
      <c r="E92" s="39" t="s">
        <v>139</v>
      </c>
      <c r="F92" s="39" t="s">
        <v>84</v>
      </c>
      <c r="G92" s="40"/>
      <c r="H92" s="40">
        <v>13</v>
      </c>
      <c r="I92" s="40"/>
      <c r="J92" s="40"/>
      <c r="K92" s="40"/>
      <c r="L92" s="40"/>
      <c r="M92" s="40"/>
      <c r="N92" s="40"/>
      <c r="O92" s="40"/>
      <c r="P92" s="40"/>
      <c r="Q92" s="40">
        <v>17</v>
      </c>
      <c r="R92" s="39">
        <v>15</v>
      </c>
      <c r="S92" s="76">
        <f>SUM(G92:R92)</f>
        <v>45</v>
      </c>
      <c r="T92" s="76">
        <f>COUNTIF(G92:R92,"&gt;1")</f>
        <v>3</v>
      </c>
      <c r="U92" s="9" t="s">
        <v>63</v>
      </c>
      <c r="V92" s="43" t="str">
        <f>IF(Table5[[#This Row],[Observed? Y or N]]="N", "-20", "0")</f>
        <v>-20</v>
      </c>
      <c r="W92" s="3">
        <f>Table5[[#This Row],[Total]]+Table5[[#This Row],[Penalty Applied]]-Table5[[#This Row],[3]]</f>
        <v>25</v>
      </c>
      <c r="X92" s="3"/>
    </row>
    <row r="93" spans="5:26" x14ac:dyDescent="0.3">
      <c r="E93" s="39" t="s">
        <v>191</v>
      </c>
      <c r="F93" s="39" t="s">
        <v>86</v>
      </c>
      <c r="G93" s="40"/>
      <c r="H93" s="40"/>
      <c r="I93" s="40"/>
      <c r="J93" s="40"/>
      <c r="K93" s="40">
        <v>13</v>
      </c>
      <c r="L93" s="40"/>
      <c r="M93" s="40"/>
      <c r="N93" s="40"/>
      <c r="O93" s="40"/>
      <c r="P93" s="40"/>
      <c r="Q93" s="40">
        <v>13</v>
      </c>
      <c r="R93" s="39">
        <v>10</v>
      </c>
      <c r="S93" s="41">
        <f>SUM(Table5[[#This Row],[Club]:[12]])</f>
        <v>36</v>
      </c>
      <c r="T93" s="41">
        <f>COUNTIF(G93:R93,"&gt;1")</f>
        <v>3</v>
      </c>
      <c r="U93" s="9" t="s">
        <v>63</v>
      </c>
      <c r="V93" s="43" t="str">
        <f>IF(Table5[[#This Row],[Observed? Y or N]]="N", "-20", "0")</f>
        <v>-20</v>
      </c>
      <c r="W93" s="3">
        <f>Table5[[#This Row],[Total]]+Table5[[#This Row],[Penalty Applied]]-Table5[[#This Row],[3]]</f>
        <v>16</v>
      </c>
      <c r="X93" s="3"/>
    </row>
    <row r="94" spans="5:26" x14ac:dyDescent="0.3">
      <c r="E94" s="97" t="s">
        <v>244</v>
      </c>
      <c r="F94" s="97" t="s">
        <v>30</v>
      </c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>
        <v>15</v>
      </c>
      <c r="R94" s="97"/>
      <c r="S94" s="76">
        <f>SUM(G94:R94)</f>
        <v>15</v>
      </c>
      <c r="T94" s="76">
        <f>COUNTIF(G94:R94,"&gt;1")</f>
        <v>1</v>
      </c>
      <c r="U94" s="9" t="s">
        <v>220</v>
      </c>
      <c r="V94" s="3" t="str">
        <f>IF(Table5[[#This Row],[Observed? Y or N]]="N", "-20", "0")</f>
        <v>0</v>
      </c>
      <c r="W94" s="3">
        <f>Table5[[#This Row],[Total]]+Table5[[#This Row],[Penalty Applied]]-Table5[[#This Row],[3]]</f>
        <v>15</v>
      </c>
      <c r="X94" s="3"/>
    </row>
    <row r="95" spans="5:26" x14ac:dyDescent="0.3">
      <c r="E95" s="97" t="s">
        <v>140</v>
      </c>
      <c r="F95" s="97" t="s">
        <v>86</v>
      </c>
      <c r="G95" s="98"/>
      <c r="H95" s="98">
        <v>11</v>
      </c>
      <c r="I95" s="98">
        <v>20</v>
      </c>
      <c r="J95" s="98"/>
      <c r="K95" s="98"/>
      <c r="L95" s="98"/>
      <c r="M95" s="98"/>
      <c r="N95" s="98"/>
      <c r="O95" s="98"/>
      <c r="P95" s="98"/>
      <c r="Q95" s="98"/>
      <c r="R95" s="97"/>
      <c r="S95" s="76">
        <f>SUM(Table5[[#This Row],[Club]:[12]])</f>
        <v>31</v>
      </c>
      <c r="T95" s="76">
        <f>COUNTIF(G95:R95,"&gt;1")</f>
        <v>2</v>
      </c>
      <c r="U95" s="9" t="s">
        <v>220</v>
      </c>
      <c r="V95" s="3" t="str">
        <f>IF(Table5[[#This Row],[Observed? Y or N]]="N", "-20", "0")</f>
        <v>0</v>
      </c>
      <c r="W95" s="3">
        <f>Table5[[#This Row],[Total]]+Table5[[#This Row],[Penalty Applied]]-Table5[[#This Row],[3]]</f>
        <v>11</v>
      </c>
      <c r="X95" s="3"/>
    </row>
    <row r="96" spans="5:26" x14ac:dyDescent="0.3">
      <c r="E96" s="97" t="s">
        <v>121</v>
      </c>
      <c r="F96" s="97" t="s">
        <v>29</v>
      </c>
      <c r="G96" s="98">
        <v>11</v>
      </c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7"/>
      <c r="S96" s="76">
        <f>SUM(G96:R96)</f>
        <v>11</v>
      </c>
      <c r="T96" s="76">
        <f>COUNTIF(G96:R96,"&gt;1")</f>
        <v>1</v>
      </c>
      <c r="U96" s="9" t="s">
        <v>220</v>
      </c>
      <c r="V96" s="3" t="str">
        <f>IF(Table5[[#This Row],[Observed? Y or N]]="N", "-20", "0")</f>
        <v>0</v>
      </c>
      <c r="W96" s="3">
        <f>Table5[[#This Row],[Total]]+Table5[[#This Row],[Penalty Applied]]-Table5[[#This Row],[3]]</f>
        <v>11</v>
      </c>
      <c r="X96" s="3"/>
    </row>
    <row r="97" spans="5:26" x14ac:dyDescent="0.3">
      <c r="E97" s="39" t="s">
        <v>192</v>
      </c>
      <c r="F97" s="39" t="s">
        <v>30</v>
      </c>
      <c r="G97" s="40"/>
      <c r="H97" s="40"/>
      <c r="I97" s="40"/>
      <c r="J97" s="40"/>
      <c r="K97" s="40">
        <v>11</v>
      </c>
      <c r="L97" s="40">
        <v>15</v>
      </c>
      <c r="M97" s="40"/>
      <c r="N97" s="40"/>
      <c r="O97" s="40"/>
      <c r="P97" s="40"/>
      <c r="Q97" s="40"/>
      <c r="R97" s="39"/>
      <c r="S97" s="41">
        <f>SUM(G97:R97)</f>
        <v>26</v>
      </c>
      <c r="T97" s="41">
        <f>COUNTIF(G97:R97,"&gt;1")</f>
        <v>2</v>
      </c>
      <c r="U97" s="9" t="s">
        <v>63</v>
      </c>
      <c r="V97" s="43" t="str">
        <f>IF(Table5[[#This Row],[Observed? Y or N]]="N", "-20", "0")</f>
        <v>-20</v>
      </c>
      <c r="W97" s="3">
        <f>Table5[[#This Row],[Total]]+Table5[[#This Row],[Penalty Applied]]-Table5[[#This Row],[3]]</f>
        <v>6</v>
      </c>
      <c r="X97" s="3"/>
    </row>
    <row r="98" spans="5:26" x14ac:dyDescent="0.3">
      <c r="E98" s="39" t="s">
        <v>172</v>
      </c>
      <c r="F98" s="39" t="s">
        <v>86</v>
      </c>
      <c r="G98" s="40"/>
      <c r="H98" s="40"/>
      <c r="I98" s="40">
        <v>17</v>
      </c>
      <c r="J98" s="40"/>
      <c r="K98" s="40">
        <v>20</v>
      </c>
      <c r="L98" s="40"/>
      <c r="M98" s="40"/>
      <c r="N98" s="40"/>
      <c r="O98" s="40"/>
      <c r="P98" s="40"/>
      <c r="Q98" s="40"/>
      <c r="R98" s="39"/>
      <c r="S98" s="41">
        <f>SUM(G98:R98)</f>
        <v>37</v>
      </c>
      <c r="T98" s="41">
        <f>COUNTIF(G98:R98,"&gt;1")</f>
        <v>2</v>
      </c>
      <c r="U98" s="9" t="s">
        <v>63</v>
      </c>
      <c r="V98" s="43" t="str">
        <f>IF(Table5[[#This Row],[Observed? Y or N]]="N", "-20", "0")</f>
        <v>-20</v>
      </c>
      <c r="W98" s="3">
        <f>Table5[[#This Row],[Total]]+Table5[[#This Row],[Penalty Applied]]-Table5[[#This Row],[3]]</f>
        <v>0</v>
      </c>
      <c r="X98" s="3"/>
    </row>
    <row r="99" spans="5:26" x14ac:dyDescent="0.3">
      <c r="E99" s="39" t="s">
        <v>92</v>
      </c>
      <c r="F99" s="39" t="s">
        <v>29</v>
      </c>
      <c r="G99" s="40"/>
      <c r="H99" s="40">
        <v>20</v>
      </c>
      <c r="I99" s="40"/>
      <c r="J99" s="40"/>
      <c r="K99" s="40"/>
      <c r="L99" s="40"/>
      <c r="M99" s="40"/>
      <c r="N99" s="40"/>
      <c r="O99" s="40"/>
      <c r="P99" s="40"/>
      <c r="Q99" s="40"/>
      <c r="R99" s="39"/>
      <c r="S99" s="76">
        <f>SUM(G99:R99)</f>
        <v>20</v>
      </c>
      <c r="T99" s="76">
        <f>COUNTIF(G99:R99,"&gt;1")</f>
        <v>1</v>
      </c>
      <c r="U99" s="9" t="s">
        <v>63</v>
      </c>
      <c r="V99" s="43" t="str">
        <f>IF(Table5[[#This Row],[Observed? Y or N]]="N", "-20", "0")</f>
        <v>-20</v>
      </c>
      <c r="W99" s="3">
        <f>Table5[[#This Row],[Total]]+Table5[[#This Row],[Penalty Applied]]-Table5[[#This Row],[3]]</f>
        <v>0</v>
      </c>
      <c r="X99" s="3"/>
    </row>
    <row r="100" spans="5:26" x14ac:dyDescent="0.3">
      <c r="E100" s="97" t="s">
        <v>175</v>
      </c>
      <c r="F100" s="76" t="s">
        <v>30</v>
      </c>
      <c r="G100" s="98"/>
      <c r="H100" s="98"/>
      <c r="I100" s="98">
        <v>8</v>
      </c>
      <c r="J100" s="98"/>
      <c r="K100" s="98"/>
      <c r="L100" s="98"/>
      <c r="M100" s="98"/>
      <c r="N100" s="98"/>
      <c r="O100" s="98"/>
      <c r="P100" s="98"/>
      <c r="Q100" s="98"/>
      <c r="R100" s="97"/>
      <c r="S100" s="76">
        <f>SUM(G100:R100)</f>
        <v>8</v>
      </c>
      <c r="T100" s="76">
        <f>COUNTIF(G100:R100,"&gt;1")</f>
        <v>1</v>
      </c>
      <c r="U100" s="9" t="s">
        <v>220</v>
      </c>
      <c r="V100" s="121" t="str">
        <f>IF(Table5[[#This Row],[Observed? Y or N]]="N", "-20", "0")</f>
        <v>0</v>
      </c>
      <c r="W100" s="3">
        <f>Table5[[#This Row],[Total]]+Table5[[#This Row],[Penalty Applied]]-Table5[[#This Row],[3]]</f>
        <v>0</v>
      </c>
      <c r="X100" s="3"/>
    </row>
    <row r="101" spans="5:26" x14ac:dyDescent="0.3">
      <c r="E101" s="39" t="s">
        <v>77</v>
      </c>
      <c r="F101" s="41" t="s">
        <v>84</v>
      </c>
      <c r="G101" s="40">
        <v>13</v>
      </c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39"/>
      <c r="S101" s="76">
        <f>SUM(Table5[[#This Row],[Club]:[12]])</f>
        <v>13</v>
      </c>
      <c r="T101" s="76">
        <f>COUNTIF(G101:R101,"&gt;1")</f>
        <v>1</v>
      </c>
      <c r="U101" s="9" t="s">
        <v>63</v>
      </c>
      <c r="V101" s="43" t="str">
        <f>IF(Table5[[#This Row],[Observed? Y or N]]="N", "-20", "0")</f>
        <v>-20</v>
      </c>
      <c r="W101" s="3">
        <f>Table5[[#This Row],[Total]]+Table5[[#This Row],[Penalty Applied]]-Table5[[#This Row],[3]]</f>
        <v>-7</v>
      </c>
      <c r="X101" s="3"/>
    </row>
    <row r="102" spans="5:26" x14ac:dyDescent="0.3">
      <c r="E102" s="39" t="s">
        <v>174</v>
      </c>
      <c r="F102" s="39" t="s">
        <v>30</v>
      </c>
      <c r="G102" s="40"/>
      <c r="H102" s="40"/>
      <c r="I102" s="40">
        <v>10</v>
      </c>
      <c r="J102" s="40"/>
      <c r="K102" s="40"/>
      <c r="L102" s="40"/>
      <c r="M102" s="40"/>
      <c r="N102" s="40"/>
      <c r="O102" s="40"/>
      <c r="P102" s="40"/>
      <c r="Q102" s="40"/>
      <c r="R102" s="39"/>
      <c r="S102" s="41">
        <f>SUM(G102:R102)</f>
        <v>10</v>
      </c>
      <c r="T102" s="41">
        <f>COUNTIF(G102:R102,"&gt;1")</f>
        <v>1</v>
      </c>
      <c r="U102" s="9" t="s">
        <v>63</v>
      </c>
      <c r="V102" s="43" t="str">
        <f>IF(Table5[[#This Row],[Observed? Y or N]]="N", "-20", "0")</f>
        <v>-20</v>
      </c>
      <c r="W102" s="3">
        <f>Table5[[#This Row],[Total]]+Table5[[#This Row],[Penalty Applied]]-Table5[[#This Row],[3]]</f>
        <v>-20</v>
      </c>
      <c r="X102" s="3"/>
    </row>
    <row r="103" spans="5:26" x14ac:dyDescent="0.3"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39"/>
      <c r="S103" s="41">
        <f>SUM(G103:R103)</f>
        <v>0</v>
      </c>
      <c r="T103" s="41">
        <f>COUNTIF(G103:R103,"&gt;1")</f>
        <v>0</v>
      </c>
      <c r="U103" s="9" t="s">
        <v>63</v>
      </c>
      <c r="V103" s="43" t="str">
        <f>IF(Table5[[#This Row],[Observed? Y or N]]="N", "-20", "0")</f>
        <v>-20</v>
      </c>
      <c r="W103" s="3">
        <f>Table5[[#This Row],[Total]]+Table5[[#This Row],[Penalty Applied]]-Table5[[#This Row],[3]]</f>
        <v>-20</v>
      </c>
      <c r="X103" s="3"/>
    </row>
    <row r="104" spans="5:26" x14ac:dyDescent="0.3">
      <c r="E104" s="39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39"/>
      <c r="S104" s="41">
        <f>SUM(G104:R104)</f>
        <v>0</v>
      </c>
      <c r="T104" s="41">
        <f>COUNTIF(G104:R104,"&gt;1")</f>
        <v>0</v>
      </c>
      <c r="U104" s="9" t="s">
        <v>63</v>
      </c>
      <c r="V104" s="43" t="str">
        <f>IF(Table5[[#This Row],[Observed? Y or N]]="N", "-20", "0")</f>
        <v>-20</v>
      </c>
      <c r="W104" s="3">
        <f>Table5[[#This Row],[Total]]+Table5[[#This Row],[Penalty Applied]]-Table5[[#This Row],[3]]</f>
        <v>-20</v>
      </c>
      <c r="X104" s="3"/>
    </row>
    <row r="105" spans="5:26" x14ac:dyDescent="0.3">
      <c r="E105" s="39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39"/>
      <c r="S105" s="41">
        <f>SUM(G105:R105)</f>
        <v>0</v>
      </c>
      <c r="T105" s="41">
        <f>COUNTIF(G105:R105,"&gt;1")</f>
        <v>0</v>
      </c>
      <c r="U105" s="9" t="s">
        <v>63</v>
      </c>
      <c r="V105" s="43" t="str">
        <f>IF(Table5[[#This Row],[Observed? Y or N]]="N", "-20", "0")</f>
        <v>-20</v>
      </c>
      <c r="W105" s="3">
        <f>Table5[[#This Row],[Total]]+Table5[[#This Row],[Penalty Applied]]-Table5[[#This Row],[3]]</f>
        <v>-20</v>
      </c>
      <c r="X105" s="3"/>
    </row>
    <row r="106" spans="5:26" ht="15" thickBot="1" x14ac:dyDescent="0.35">
      <c r="E106" s="39"/>
      <c r="F106" s="46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8"/>
      <c r="S106" s="41">
        <f>SUM(G106:R106)</f>
        <v>0</v>
      </c>
      <c r="T106" s="46">
        <f>COUNTIF(G106:R106,"&gt;1")</f>
        <v>0</v>
      </c>
      <c r="U106" s="9" t="s">
        <v>63</v>
      </c>
      <c r="V106" s="123" t="str">
        <f>IF(Table5[[#This Row],[Observed? Y or N]]="N", "-20", "0")</f>
        <v>-20</v>
      </c>
      <c r="W106" s="3">
        <f>Table5[[#This Row],[Total]]+Table5[[#This Row],[Penalty Applied]]-Table5[[#This Row],[3]]</f>
        <v>-20</v>
      </c>
      <c r="X106" s="4"/>
    </row>
    <row r="108" spans="5:26" ht="15" thickBot="1" x14ac:dyDescent="0.35"/>
    <row r="109" spans="5:26" ht="154.19999999999999" thickBot="1" x14ac:dyDescent="0.35">
      <c r="E109" s="36" t="s">
        <v>34</v>
      </c>
      <c r="F109" s="36" t="s">
        <v>91</v>
      </c>
      <c r="G109" s="35" t="s">
        <v>65</v>
      </c>
      <c r="H109" s="35" t="s">
        <v>66</v>
      </c>
      <c r="I109" s="35" t="s">
        <v>67</v>
      </c>
      <c r="J109" s="35" t="s">
        <v>68</v>
      </c>
      <c r="K109" s="35" t="s">
        <v>69</v>
      </c>
      <c r="L109" s="35" t="s">
        <v>70</v>
      </c>
      <c r="M109" s="35" t="s">
        <v>71</v>
      </c>
      <c r="N109" s="35" t="s">
        <v>72</v>
      </c>
      <c r="O109" s="35" t="s">
        <v>73</v>
      </c>
      <c r="P109" s="35" t="s">
        <v>74</v>
      </c>
      <c r="Q109" s="35" t="s">
        <v>75</v>
      </c>
      <c r="R109" s="35" t="s">
        <v>76</v>
      </c>
      <c r="S109" s="7" t="s">
        <v>31</v>
      </c>
      <c r="T109" s="7" t="s">
        <v>42</v>
      </c>
      <c r="U109" s="54" t="s">
        <v>61</v>
      </c>
      <c r="V109" s="7" t="s">
        <v>64</v>
      </c>
      <c r="W109" s="32" t="s">
        <v>62</v>
      </c>
      <c r="X109" s="32" t="s">
        <v>15</v>
      </c>
    </row>
    <row r="110" spans="5:26" ht="15" x14ac:dyDescent="0.3">
      <c r="E110" s="97" t="s">
        <v>94</v>
      </c>
      <c r="F110" s="97" t="s">
        <v>84</v>
      </c>
      <c r="G110" s="98">
        <v>20</v>
      </c>
      <c r="H110" s="98">
        <v>11</v>
      </c>
      <c r="I110" s="98"/>
      <c r="J110" s="98"/>
      <c r="K110" s="98"/>
      <c r="L110" s="98">
        <v>15</v>
      </c>
      <c r="M110" s="98"/>
      <c r="N110" s="98"/>
      <c r="O110" s="98">
        <v>20</v>
      </c>
      <c r="P110" s="98">
        <v>15</v>
      </c>
      <c r="Q110" s="98">
        <v>17</v>
      </c>
      <c r="R110" s="97">
        <v>20</v>
      </c>
      <c r="S110" s="78">
        <f>SUM(Table6[[#This Row],[1]:[12]])</f>
        <v>118</v>
      </c>
      <c r="T110" s="78">
        <f>COUNTIF(G110:R110,"&gt;1")</f>
        <v>7</v>
      </c>
      <c r="U110" s="9" t="s">
        <v>220</v>
      </c>
      <c r="V110" s="2" t="str">
        <f>IF(Table6[[#This Row],[Observed? Y or N]]="N", "-20", "0")</f>
        <v>0</v>
      </c>
      <c r="W110" s="3">
        <f>Table6[[#This Row],[Total]]+Table6[[#This Row],[Penalty Applied]]</f>
        <v>118</v>
      </c>
      <c r="X110" s="2" t="s">
        <v>0</v>
      </c>
      <c r="Z110" s="33"/>
    </row>
    <row r="111" spans="5:26" ht="15" x14ac:dyDescent="0.3">
      <c r="E111" s="97" t="s">
        <v>100</v>
      </c>
      <c r="F111" s="97" t="s">
        <v>29</v>
      </c>
      <c r="G111" s="98">
        <v>15</v>
      </c>
      <c r="H111" s="98"/>
      <c r="I111" s="98"/>
      <c r="J111" s="98"/>
      <c r="K111" s="98"/>
      <c r="L111" s="98">
        <v>11</v>
      </c>
      <c r="M111" s="98">
        <v>15</v>
      </c>
      <c r="N111" s="98"/>
      <c r="O111" s="98">
        <v>17</v>
      </c>
      <c r="P111" s="98">
        <v>13</v>
      </c>
      <c r="Q111" s="98"/>
      <c r="R111" s="97">
        <v>15</v>
      </c>
      <c r="S111" s="76">
        <f>SUM(Table6[[#This Row],[1]:[12]])</f>
        <v>86</v>
      </c>
      <c r="T111" s="76">
        <f>COUNTIF(G111:R111,"&gt;1")</f>
        <v>6</v>
      </c>
      <c r="U111" s="9" t="s">
        <v>220</v>
      </c>
      <c r="V111" s="3" t="str">
        <f>IF(Table6[[#This Row],[Observed? Y or N]]="N", "-20", "0")</f>
        <v>0</v>
      </c>
      <c r="W111" s="3">
        <f>Table6[[#This Row],[Total]]+Table6[[#This Row],[Penalty Applied]]</f>
        <v>86</v>
      </c>
      <c r="X111" s="3" t="s">
        <v>1</v>
      </c>
      <c r="Z111" s="33"/>
    </row>
    <row r="112" spans="5:26" ht="15" x14ac:dyDescent="0.3">
      <c r="E112" s="97" t="s">
        <v>169</v>
      </c>
      <c r="F112" s="97" t="s">
        <v>25</v>
      </c>
      <c r="G112" s="98"/>
      <c r="H112" s="98"/>
      <c r="I112" s="98">
        <v>13</v>
      </c>
      <c r="J112" s="98">
        <v>20</v>
      </c>
      <c r="K112" s="98"/>
      <c r="L112" s="98">
        <v>13</v>
      </c>
      <c r="M112" s="98">
        <v>17</v>
      </c>
      <c r="N112" s="98"/>
      <c r="O112" s="98"/>
      <c r="P112" s="98"/>
      <c r="Q112" s="98"/>
      <c r="R112" s="97"/>
      <c r="S112" s="76">
        <f>SUM(Table6[[#This Row],[1]:[12]])</f>
        <v>63</v>
      </c>
      <c r="T112" s="76">
        <f>COUNTIF(G112:R112,"&gt;1")</f>
        <v>4</v>
      </c>
      <c r="U112" s="9" t="s">
        <v>220</v>
      </c>
      <c r="V112" s="3" t="str">
        <f>IF(Table6[[#This Row],[Observed? Y or N]]="N", "-20", "0")</f>
        <v>0</v>
      </c>
      <c r="W112" s="3">
        <f>Table6[[#This Row],[Total]]+Table6[[#This Row],[Penalty Applied]]</f>
        <v>63</v>
      </c>
      <c r="X112" s="3" t="s">
        <v>2</v>
      </c>
      <c r="Z112" s="33"/>
    </row>
    <row r="113" spans="5:26" ht="15" x14ac:dyDescent="0.3">
      <c r="E113" s="39" t="s">
        <v>141</v>
      </c>
      <c r="F113" s="39" t="s">
        <v>86</v>
      </c>
      <c r="G113" s="40"/>
      <c r="H113" s="40">
        <v>20</v>
      </c>
      <c r="I113" s="40">
        <v>20</v>
      </c>
      <c r="J113" s="40"/>
      <c r="K113" s="40"/>
      <c r="L113" s="40"/>
      <c r="M113" s="40">
        <v>20</v>
      </c>
      <c r="N113" s="40"/>
      <c r="O113" s="40"/>
      <c r="P113" s="40">
        <v>17</v>
      </c>
      <c r="Q113" s="40"/>
      <c r="R113" s="39"/>
      <c r="S113" s="41">
        <f>SUM(Table6[[#This Row],[1]:[12]])</f>
        <v>77</v>
      </c>
      <c r="T113" s="41">
        <f>COUNTIF(G113:R113,"&gt;1")</f>
        <v>4</v>
      </c>
      <c r="U113" s="9" t="s">
        <v>63</v>
      </c>
      <c r="V113" s="43" t="str">
        <f>IF(Table6[[#This Row],[Observed? Y or N]]="N", "-20", "0")</f>
        <v>-20</v>
      </c>
      <c r="W113" s="3">
        <f>Table6[[#This Row],[Total]]+Table6[[#This Row],[Penalty Applied]]</f>
        <v>57</v>
      </c>
      <c r="X113" s="3"/>
      <c r="Z113" s="33"/>
    </row>
    <row r="114" spans="5:26" ht="15" x14ac:dyDescent="0.3">
      <c r="E114" s="39" t="s">
        <v>101</v>
      </c>
      <c r="F114" s="39" t="s">
        <v>84</v>
      </c>
      <c r="G114" s="40"/>
      <c r="H114" s="40">
        <v>15</v>
      </c>
      <c r="I114" s="40"/>
      <c r="J114" s="40"/>
      <c r="K114" s="40"/>
      <c r="L114" s="40">
        <v>20</v>
      </c>
      <c r="M114" s="40"/>
      <c r="N114" s="40"/>
      <c r="O114" s="40"/>
      <c r="P114" s="40"/>
      <c r="Q114" s="40">
        <v>15</v>
      </c>
      <c r="R114" s="39">
        <v>17</v>
      </c>
      <c r="S114" s="41">
        <f>SUM(Table6[[#This Row],[1]:[12]])</f>
        <v>67</v>
      </c>
      <c r="T114" s="41">
        <f>COUNTIF(G114:R114,"&gt;1")</f>
        <v>4</v>
      </c>
      <c r="U114" s="9" t="s">
        <v>63</v>
      </c>
      <c r="V114" s="43" t="str">
        <f>IF(Table6[[#This Row],[Observed? Y or N]]="N", "-20", "0")</f>
        <v>-20</v>
      </c>
      <c r="W114" s="43">
        <f>Table6[[#This Row],[Total]]+Table6[[#This Row],[Penalty Applied]]</f>
        <v>47</v>
      </c>
      <c r="X114" s="3"/>
      <c r="Z114" s="33"/>
    </row>
    <row r="115" spans="5:26" ht="15" x14ac:dyDescent="0.3">
      <c r="E115" s="39" t="s">
        <v>120</v>
      </c>
      <c r="F115" s="39" t="s">
        <v>30</v>
      </c>
      <c r="G115" s="40">
        <v>17</v>
      </c>
      <c r="H115" s="40"/>
      <c r="I115" s="40">
        <v>11</v>
      </c>
      <c r="J115" s="40"/>
      <c r="K115" s="40"/>
      <c r="L115" s="40"/>
      <c r="M115" s="40"/>
      <c r="N115" s="40"/>
      <c r="O115" s="40"/>
      <c r="P115" s="40">
        <v>20</v>
      </c>
      <c r="Q115" s="40">
        <v>11</v>
      </c>
      <c r="R115" s="39"/>
      <c r="S115" s="41">
        <f>SUM(Table6[[#This Row],[1]:[12]])</f>
        <v>59</v>
      </c>
      <c r="T115" s="41">
        <f>COUNTIF(G115:R115,"&gt;1")</f>
        <v>4</v>
      </c>
      <c r="U115" s="9" t="s">
        <v>63</v>
      </c>
      <c r="V115" s="43" t="str">
        <f>IF(Table6[[#This Row],[Observed? Y or N]]="N", "-20", "0")</f>
        <v>-20</v>
      </c>
      <c r="W115" s="3">
        <f>Table6[[#This Row],[Total]]+Table6[[#This Row],[Penalty Applied]]</f>
        <v>39</v>
      </c>
      <c r="X115" s="3"/>
      <c r="Z115" s="33"/>
    </row>
    <row r="116" spans="5:26" x14ac:dyDescent="0.3">
      <c r="E116" s="97" t="s">
        <v>168</v>
      </c>
      <c r="F116" s="97" t="s">
        <v>85</v>
      </c>
      <c r="G116" s="98"/>
      <c r="H116" s="98"/>
      <c r="I116" s="98">
        <v>15</v>
      </c>
      <c r="J116" s="98"/>
      <c r="K116" s="98"/>
      <c r="L116" s="98">
        <v>17</v>
      </c>
      <c r="M116" s="98"/>
      <c r="N116" s="98"/>
      <c r="O116" s="98"/>
      <c r="P116" s="98"/>
      <c r="Q116" s="98"/>
      <c r="R116" s="97"/>
      <c r="S116" s="76">
        <f>SUM(Table6[[#This Row],[1]:[12]])</f>
        <v>32</v>
      </c>
      <c r="T116" s="76">
        <f>COUNTIF(G116:R116,"&gt;1")</f>
        <v>2</v>
      </c>
      <c r="U116" s="9" t="s">
        <v>220</v>
      </c>
      <c r="V116" s="121" t="str">
        <f>IF(Table6[[#This Row],[Observed? Y or N]]="N", "-20", "0")</f>
        <v>0</v>
      </c>
      <c r="W116" s="121">
        <f>Table6[[#This Row],[Total]]+Table6[[#This Row],[Penalty Applied]]</f>
        <v>32</v>
      </c>
      <c r="X116" s="3"/>
    </row>
    <row r="117" spans="5:26" x14ac:dyDescent="0.3">
      <c r="E117" s="104" t="s">
        <v>123</v>
      </c>
      <c r="F117" s="104" t="s">
        <v>97</v>
      </c>
      <c r="G117" s="106"/>
      <c r="H117" s="106"/>
      <c r="I117" s="106">
        <v>17</v>
      </c>
      <c r="J117" s="106"/>
      <c r="K117" s="106"/>
      <c r="L117" s="106"/>
      <c r="M117" s="106"/>
      <c r="N117" s="106"/>
      <c r="O117" s="106"/>
      <c r="P117" s="106"/>
      <c r="Q117" s="106"/>
      <c r="R117" s="104"/>
      <c r="S117" s="105">
        <f>SUM(Table6[[#This Row],[1]:[12]])</f>
        <v>17</v>
      </c>
      <c r="T117" s="105">
        <f>COUNTIF(G117:R117,"&gt;1")</f>
        <v>1</v>
      </c>
      <c r="U117" s="9" t="s">
        <v>220</v>
      </c>
      <c r="V117" s="3" t="str">
        <f>IF(Table6[[#This Row],[Observed? Y or N]]="N", "-20", "0")</f>
        <v>0</v>
      </c>
      <c r="W117" s="3">
        <f>Table6[[#This Row],[Total]]+Table6[[#This Row],[Penalty Applied]]</f>
        <v>17</v>
      </c>
      <c r="X117" s="3"/>
    </row>
    <row r="118" spans="5:26" x14ac:dyDescent="0.3">
      <c r="E118" s="97" t="s">
        <v>89</v>
      </c>
      <c r="F118" s="97" t="s">
        <v>29</v>
      </c>
      <c r="G118" s="98"/>
      <c r="H118" s="98"/>
      <c r="I118" s="98"/>
      <c r="J118" s="98">
        <v>17</v>
      </c>
      <c r="K118" s="98"/>
      <c r="L118" s="98"/>
      <c r="M118" s="98"/>
      <c r="N118" s="98"/>
      <c r="O118" s="98"/>
      <c r="P118" s="98"/>
      <c r="Q118" s="98"/>
      <c r="R118" s="97"/>
      <c r="S118" s="76">
        <f>SUM(Table6[[#This Row],[1]:[12]])</f>
        <v>17</v>
      </c>
      <c r="T118" s="76">
        <f>COUNTIF(G118:R118,"&gt;1")</f>
        <v>1</v>
      </c>
      <c r="U118" s="9" t="s">
        <v>220</v>
      </c>
      <c r="V118" s="3" t="str">
        <f>IF(Table6[[#This Row],[Observed? Y or N]]="N", "-20", "0")</f>
        <v>0</v>
      </c>
      <c r="W118" s="3">
        <f>Table6[[#This Row],[Total]]+Table6[[#This Row],[Penalty Applied]]</f>
        <v>17</v>
      </c>
      <c r="X118" s="3"/>
    </row>
    <row r="119" spans="5:26" x14ac:dyDescent="0.3">
      <c r="E119" s="39" t="s">
        <v>239</v>
      </c>
      <c r="F119" s="39" t="s">
        <v>29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>
        <v>20</v>
      </c>
      <c r="R119" s="39"/>
      <c r="S119" s="41">
        <f>SUM(Table6[[#This Row],[1]:[12]])</f>
        <v>20</v>
      </c>
      <c r="T119" s="41">
        <f>COUNTIF(G119:R119,"&gt;1")</f>
        <v>1</v>
      </c>
      <c r="U119" s="9" t="s">
        <v>63</v>
      </c>
      <c r="V119" s="43" t="str">
        <f>IF(Table6[[#This Row],[Observed? Y or N]]="N", "-20", "0")</f>
        <v>-20</v>
      </c>
      <c r="W119" s="43">
        <f>Table6[[#This Row],[Total]]+Table6[[#This Row],[Penalty Applied]]</f>
        <v>0</v>
      </c>
      <c r="X119" s="3"/>
    </row>
    <row r="120" spans="5:26" x14ac:dyDescent="0.3">
      <c r="E120" s="39" t="s">
        <v>142</v>
      </c>
      <c r="F120" s="39" t="s">
        <v>84</v>
      </c>
      <c r="G120" s="40"/>
      <c r="H120" s="40">
        <v>17</v>
      </c>
      <c r="I120" s="40"/>
      <c r="J120" s="40"/>
      <c r="K120" s="40"/>
      <c r="L120" s="40"/>
      <c r="M120" s="40"/>
      <c r="N120" s="40"/>
      <c r="O120" s="40"/>
      <c r="P120" s="40"/>
      <c r="Q120" s="40"/>
      <c r="R120" s="39"/>
      <c r="S120" s="41">
        <f>SUM(Table6[[#This Row],[1]:[12]])</f>
        <v>17</v>
      </c>
      <c r="T120" s="41">
        <f>COUNTIF(G120:R120,"&gt;1")</f>
        <v>1</v>
      </c>
      <c r="U120" s="9" t="s">
        <v>63</v>
      </c>
      <c r="V120" s="43" t="str">
        <f>IF(Table6[[#This Row],[Observed? Y or N]]="N", "-20", "0")</f>
        <v>-20</v>
      </c>
      <c r="W120" s="43">
        <f>Table6[[#This Row],[Total]]+Table6[[#This Row],[Penalty Applied]]</f>
        <v>-3</v>
      </c>
      <c r="X120" s="3"/>
    </row>
    <row r="121" spans="5:26" x14ac:dyDescent="0.3">
      <c r="E121" s="39" t="s">
        <v>229</v>
      </c>
      <c r="F121" s="39" t="s">
        <v>26</v>
      </c>
      <c r="G121" s="40"/>
      <c r="H121" s="40"/>
      <c r="I121" s="40"/>
      <c r="J121" s="40"/>
      <c r="K121" s="40"/>
      <c r="L121" s="40"/>
      <c r="M121" s="40"/>
      <c r="N121" s="40"/>
      <c r="O121" s="40">
        <v>15</v>
      </c>
      <c r="P121" s="40"/>
      <c r="Q121" s="40"/>
      <c r="R121" s="39"/>
      <c r="S121" s="41">
        <f>SUM(Table6[[#This Row],[1]:[12]])</f>
        <v>15</v>
      </c>
      <c r="T121" s="41">
        <f>COUNTIF(G121:R121,"&gt;1")</f>
        <v>1</v>
      </c>
      <c r="U121" s="9" t="s">
        <v>63</v>
      </c>
      <c r="V121" s="43" t="str">
        <f>IF(Table6[[#This Row],[Observed? Y or N]]="N", "-20", "0")</f>
        <v>-20</v>
      </c>
      <c r="W121" s="43">
        <f>Table6[[#This Row],[Total]]+Table6[[#This Row],[Penalty Applied]]</f>
        <v>-5</v>
      </c>
      <c r="X121" s="3"/>
    </row>
    <row r="122" spans="5:26" x14ac:dyDescent="0.3">
      <c r="E122" s="39" t="s">
        <v>143</v>
      </c>
      <c r="F122" s="39" t="s">
        <v>84</v>
      </c>
      <c r="G122" s="40"/>
      <c r="H122" s="40">
        <v>13</v>
      </c>
      <c r="I122" s="40"/>
      <c r="J122" s="40"/>
      <c r="K122" s="40"/>
      <c r="L122" s="40"/>
      <c r="M122" s="40"/>
      <c r="N122" s="40"/>
      <c r="O122" s="40"/>
      <c r="P122" s="40"/>
      <c r="Q122" s="40"/>
      <c r="R122" s="39"/>
      <c r="S122" s="41">
        <f>SUM(Table6[[#This Row],[1]:[12]])</f>
        <v>13</v>
      </c>
      <c r="T122" s="41">
        <f>COUNTIF(G122:R122,"&gt;1")</f>
        <v>1</v>
      </c>
      <c r="U122" s="9" t="s">
        <v>63</v>
      </c>
      <c r="V122" s="43" t="str">
        <f>IF(Table6[[#This Row],[Observed? Y or N]]="N", "-20", "0")</f>
        <v>-20</v>
      </c>
      <c r="W122" s="43">
        <f>Table6[[#This Row],[Total]]+Table6[[#This Row],[Penalty Applied]]</f>
        <v>-7</v>
      </c>
      <c r="X122" s="3"/>
    </row>
    <row r="123" spans="5:26" x14ac:dyDescent="0.3">
      <c r="E123" s="39" t="s">
        <v>126</v>
      </c>
      <c r="F123" s="39" t="s">
        <v>30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>
        <v>13</v>
      </c>
      <c r="R123" s="39"/>
      <c r="S123" s="41">
        <f>SUM(Table6[[#This Row],[1]:[12]])</f>
        <v>13</v>
      </c>
      <c r="T123" s="41">
        <f>COUNTIF(G123:R123,"&gt;1")</f>
        <v>1</v>
      </c>
      <c r="U123" s="9" t="s">
        <v>63</v>
      </c>
      <c r="V123" s="43" t="str">
        <f>IF(Table6[[#This Row],[Observed? Y or N]]="N", "-20", "0")</f>
        <v>-20</v>
      </c>
      <c r="W123" s="43">
        <f>Table6[[#This Row],[Total]]+Table6[[#This Row],[Penalty Applied]]</f>
        <v>-7</v>
      </c>
      <c r="X123" s="3"/>
    </row>
    <row r="124" spans="5:26" x14ac:dyDescent="0.3">
      <c r="E124" s="39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39"/>
      <c r="S124" s="41">
        <f>SUM(Table6[[#This Row],[1]:[12]])</f>
        <v>0</v>
      </c>
      <c r="T124" s="41">
        <f>COUNTIF(G124:R124,"&gt;1")</f>
        <v>0</v>
      </c>
      <c r="U124" s="9" t="s">
        <v>63</v>
      </c>
      <c r="V124" s="43" t="str">
        <f>IF(Table6[[#This Row],[Observed? Y or N]]="N", "-20", "0")</f>
        <v>-20</v>
      </c>
      <c r="W124" s="43">
        <f>Table6[[#This Row],[Total]]+Table6[[#This Row],[Penalty Applied]]</f>
        <v>-20</v>
      </c>
      <c r="X124" s="3"/>
    </row>
    <row r="125" spans="5:26" x14ac:dyDescent="0.3">
      <c r="E125" s="39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39"/>
      <c r="S125" s="41">
        <f>SUM(Table6[[#This Row],[1]:[12]])</f>
        <v>0</v>
      </c>
      <c r="T125" s="41">
        <f>COUNTIF(G125:R125,"&gt;1")</f>
        <v>0</v>
      </c>
      <c r="U125" s="9" t="s">
        <v>63</v>
      </c>
      <c r="V125" s="43" t="str">
        <f>IF(Table6[[#This Row],[Observed? Y or N]]="N", "-20", "0")</f>
        <v>-20</v>
      </c>
      <c r="W125" s="43">
        <f>Table6[[#This Row],[Total]]+Table6[[#This Row],[Penalty Applied]]</f>
        <v>-20</v>
      </c>
      <c r="X125" s="3"/>
    </row>
    <row r="126" spans="5:26" x14ac:dyDescent="0.3">
      <c r="E126" s="39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39"/>
      <c r="S126" s="41">
        <f>SUM(Table6[[#This Row],[1]:[12]])</f>
        <v>0</v>
      </c>
      <c r="T126" s="41">
        <f>COUNTIF(G126:R126,"&gt;1")</f>
        <v>0</v>
      </c>
      <c r="U126" s="9" t="s">
        <v>63</v>
      </c>
      <c r="V126" s="43" t="str">
        <f>IF(Table6[[#This Row],[Observed? Y or N]]="N", "-20", "0")</f>
        <v>-20</v>
      </c>
      <c r="W126" s="43">
        <f>Table6[[#This Row],[Total]]+Table6[[#This Row],[Penalty Applied]]</f>
        <v>-20</v>
      </c>
      <c r="X126" s="3"/>
    </row>
    <row r="127" spans="5:26" x14ac:dyDescent="0.3"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39"/>
      <c r="S127" s="41">
        <f>SUM(Table6[[#This Row],[1]:[12]])</f>
        <v>0</v>
      </c>
      <c r="T127" s="41">
        <f>COUNTIF(G127:R127,"&gt;1")</f>
        <v>0</v>
      </c>
      <c r="U127" s="9" t="s">
        <v>63</v>
      </c>
      <c r="V127" s="43" t="str">
        <f>IF(Table6[[#This Row],[Observed? Y or N]]="N", "-20", "0")</f>
        <v>-20</v>
      </c>
      <c r="W127" s="43">
        <f>Table6[[#This Row],[Total]]+Table6[[#This Row],[Penalty Applied]]</f>
        <v>-20</v>
      </c>
      <c r="X127" s="3"/>
    </row>
    <row r="128" spans="5:26" x14ac:dyDescent="0.3">
      <c r="E128" s="39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39"/>
      <c r="S128" s="41">
        <f>SUM(Table6[[#This Row],[1]:[12]])</f>
        <v>0</v>
      </c>
      <c r="T128" s="41">
        <f>COUNTIF(G128:R128,"&gt;1")</f>
        <v>0</v>
      </c>
      <c r="U128" s="9" t="s">
        <v>63</v>
      </c>
      <c r="V128" s="43" t="str">
        <f>IF(Table6[[#This Row],[Observed? Y or N]]="N", "-20", "0")</f>
        <v>-20</v>
      </c>
      <c r="W128" s="43">
        <f>Table6[[#This Row],[Total]]+Table6[[#This Row],[Penalty Applied]]</f>
        <v>-20</v>
      </c>
      <c r="X128" s="3"/>
    </row>
    <row r="129" spans="5:26" x14ac:dyDescent="0.3">
      <c r="E129" s="39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39"/>
      <c r="S129" s="41">
        <f>SUM(Table6[[#This Row],[1]:[12]])</f>
        <v>0</v>
      </c>
      <c r="T129" s="41">
        <f>COUNTIF(G129:R129,"&gt;1")</f>
        <v>0</v>
      </c>
      <c r="U129" s="9" t="s">
        <v>63</v>
      </c>
      <c r="V129" s="43" t="str">
        <f>IF(Table6[[#This Row],[Observed? Y or N]]="N", "-20", "0")</f>
        <v>-20</v>
      </c>
      <c r="W129" s="43">
        <f>Table6[[#This Row],[Total]]+Table6[[#This Row],[Penalty Applied]]</f>
        <v>-20</v>
      </c>
      <c r="X129" s="3"/>
    </row>
    <row r="130" spans="5:26" x14ac:dyDescent="0.3">
      <c r="E130" s="39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39"/>
      <c r="S130" s="41">
        <f>SUM(Table6[[#This Row],[1]:[12]])</f>
        <v>0</v>
      </c>
      <c r="T130" s="41">
        <f>COUNTIF(G130:R130,"&gt;1")</f>
        <v>0</v>
      </c>
      <c r="U130" s="9" t="s">
        <v>63</v>
      </c>
      <c r="V130" s="43" t="str">
        <f>IF(Table6[[#This Row],[Observed? Y or N]]="N", "-20", "0")</f>
        <v>-20</v>
      </c>
      <c r="W130" s="43">
        <f>Table6[[#This Row],[Total]]+Table6[[#This Row],[Penalty Applied]]</f>
        <v>-20</v>
      </c>
      <c r="X130" s="3"/>
    </row>
    <row r="132" spans="5:26" ht="15" thickBot="1" x14ac:dyDescent="0.35"/>
    <row r="133" spans="5:26" ht="154.19999999999999" thickBot="1" x14ac:dyDescent="0.35">
      <c r="E133" s="36" t="s">
        <v>36</v>
      </c>
      <c r="F133" s="36" t="s">
        <v>91</v>
      </c>
      <c r="G133" s="35" t="s">
        <v>65</v>
      </c>
      <c r="H133" s="35" t="s">
        <v>66</v>
      </c>
      <c r="I133" s="35" t="s">
        <v>67</v>
      </c>
      <c r="J133" s="35" t="s">
        <v>68</v>
      </c>
      <c r="K133" s="35" t="s">
        <v>69</v>
      </c>
      <c r="L133" s="35" t="s">
        <v>70</v>
      </c>
      <c r="M133" s="35" t="s">
        <v>71</v>
      </c>
      <c r="N133" s="35" t="s">
        <v>72</v>
      </c>
      <c r="O133" s="35" t="s">
        <v>73</v>
      </c>
      <c r="P133" s="35" t="s">
        <v>74</v>
      </c>
      <c r="Q133" s="35" t="s">
        <v>75</v>
      </c>
      <c r="R133" s="35" t="s">
        <v>76</v>
      </c>
      <c r="S133" s="7" t="s">
        <v>31</v>
      </c>
      <c r="T133" s="7" t="s">
        <v>42</v>
      </c>
      <c r="U133" s="54" t="s">
        <v>61</v>
      </c>
      <c r="V133" s="7" t="s">
        <v>64</v>
      </c>
      <c r="W133" s="32" t="s">
        <v>62</v>
      </c>
      <c r="X133" s="32" t="s">
        <v>15</v>
      </c>
    </row>
    <row r="134" spans="5:26" x14ac:dyDescent="0.3">
      <c r="E134" s="97" t="s">
        <v>107</v>
      </c>
      <c r="F134" s="78" t="s">
        <v>30</v>
      </c>
      <c r="G134" s="98">
        <v>15</v>
      </c>
      <c r="H134" s="102">
        <v>11</v>
      </c>
      <c r="I134" s="102">
        <v>13</v>
      </c>
      <c r="J134" s="102"/>
      <c r="K134" s="102"/>
      <c r="L134" s="102">
        <v>15</v>
      </c>
      <c r="M134" s="102">
        <v>13</v>
      </c>
      <c r="N134" s="102">
        <v>20</v>
      </c>
      <c r="O134" s="98">
        <v>15</v>
      </c>
      <c r="P134" s="102">
        <v>11</v>
      </c>
      <c r="Q134" s="102">
        <v>13</v>
      </c>
      <c r="R134" s="103"/>
      <c r="S134" s="78">
        <f>SUM(Table7[[#This Row],[1]:[12]])</f>
        <v>126</v>
      </c>
      <c r="T134" s="76">
        <f>COUNTIF(G134:R134,"&gt;1")</f>
        <v>9</v>
      </c>
      <c r="U134" s="9" t="s">
        <v>220</v>
      </c>
      <c r="V134" s="2" t="str">
        <f>IF(Table7[[#This Row],[Observed? Y or N]]="N", "-20", "0")</f>
        <v>0</v>
      </c>
      <c r="W134">
        <f>Table7[[#This Row],[Total]]+Table7[[#This Row],[Penalty Applied]]-Table7[[#This Row],[2]]</f>
        <v>115</v>
      </c>
      <c r="X134" s="2" t="s">
        <v>0</v>
      </c>
    </row>
    <row r="135" spans="5:26" x14ac:dyDescent="0.3">
      <c r="E135" s="97" t="s">
        <v>148</v>
      </c>
      <c r="F135" s="76" t="s">
        <v>29</v>
      </c>
      <c r="G135" s="98"/>
      <c r="H135" s="98">
        <v>10</v>
      </c>
      <c r="I135" s="98"/>
      <c r="J135" s="98"/>
      <c r="K135" s="98">
        <v>17</v>
      </c>
      <c r="L135" s="98">
        <v>13</v>
      </c>
      <c r="M135" s="98"/>
      <c r="N135" s="98">
        <v>15</v>
      </c>
      <c r="O135" s="98">
        <v>11</v>
      </c>
      <c r="P135" s="98"/>
      <c r="Q135" s="98"/>
      <c r="R135" s="97">
        <v>17</v>
      </c>
      <c r="S135" s="76">
        <f>SUM(Table7[[#This Row],[1]:[12]])</f>
        <v>83</v>
      </c>
      <c r="T135" s="76">
        <f>COUNTIF(G135:R135,"&gt;1")</f>
        <v>6</v>
      </c>
      <c r="U135" s="9" t="s">
        <v>220</v>
      </c>
      <c r="V135" s="3" t="str">
        <f>IF(Table7[[#This Row],[Observed? Y or N]]="N", "-20", "0")</f>
        <v>0</v>
      </c>
      <c r="W135">
        <f>Table7[[#This Row],[Total]]+Table7[[#This Row],[Penalty Applied]]</f>
        <v>83</v>
      </c>
      <c r="X135" s="3" t="s">
        <v>1</v>
      </c>
    </row>
    <row r="136" spans="5:26" x14ac:dyDescent="0.3">
      <c r="E136" s="97" t="s">
        <v>144</v>
      </c>
      <c r="F136" s="76" t="s">
        <v>29</v>
      </c>
      <c r="G136" s="98"/>
      <c r="H136" s="98">
        <v>20</v>
      </c>
      <c r="I136" s="98">
        <v>15</v>
      </c>
      <c r="J136" s="98">
        <v>20</v>
      </c>
      <c r="K136" s="98"/>
      <c r="L136" s="98"/>
      <c r="M136" s="98"/>
      <c r="N136" s="98"/>
      <c r="O136" s="98"/>
      <c r="P136" s="98"/>
      <c r="Q136" s="98"/>
      <c r="R136" s="97">
        <v>20</v>
      </c>
      <c r="S136" s="76">
        <f>SUM(Table7[[#This Row],[1]:[12]])</f>
        <v>75</v>
      </c>
      <c r="T136" s="76">
        <f>COUNTIF(G136:R136,"&gt;1")</f>
        <v>4</v>
      </c>
      <c r="U136" s="9" t="s">
        <v>220</v>
      </c>
      <c r="V136" s="3" t="str">
        <f>IF(Table7[[#This Row],[Observed? Y or N]]="N", "-20", "0")</f>
        <v>0</v>
      </c>
      <c r="W136">
        <f>Table7[[#This Row],[Total]]+Table7[[#This Row],[Penalty Applied]]</f>
        <v>75</v>
      </c>
      <c r="X136" s="3" t="s">
        <v>2</v>
      </c>
    </row>
    <row r="137" spans="5:26" x14ac:dyDescent="0.3">
      <c r="E137" s="39" t="s">
        <v>165</v>
      </c>
      <c r="F137" s="41" t="s">
        <v>25</v>
      </c>
      <c r="G137" s="40"/>
      <c r="H137" s="40"/>
      <c r="I137" s="40">
        <v>20</v>
      </c>
      <c r="J137" s="40">
        <v>15</v>
      </c>
      <c r="K137" s="40">
        <v>20</v>
      </c>
      <c r="L137" s="40"/>
      <c r="M137" s="40"/>
      <c r="N137" s="40"/>
      <c r="O137" s="40"/>
      <c r="P137" s="40">
        <v>17</v>
      </c>
      <c r="Q137" s="40"/>
      <c r="R137" s="39"/>
      <c r="S137" s="76">
        <f>SUM(Table7[[#This Row],[1]:[12]])</f>
        <v>72</v>
      </c>
      <c r="T137" s="76">
        <f>COUNTIF(G137:R137,"&gt;1")</f>
        <v>4</v>
      </c>
      <c r="U137" s="9" t="s">
        <v>63</v>
      </c>
      <c r="V137" s="43" t="str">
        <f>IF(Table7[[#This Row],[Observed? Y or N]]="N", "-20", "0")</f>
        <v>-20</v>
      </c>
      <c r="W137" s="38">
        <f>Table7[[#This Row],[Total]]+Table7[[#This Row],[Penalty Applied]]</f>
        <v>52</v>
      </c>
      <c r="X137" s="3"/>
    </row>
    <row r="138" spans="5:26" x14ac:dyDescent="0.3">
      <c r="E138" s="97" t="s">
        <v>147</v>
      </c>
      <c r="F138" s="76" t="s">
        <v>97</v>
      </c>
      <c r="G138" s="98"/>
      <c r="H138" s="98">
        <v>13</v>
      </c>
      <c r="I138" s="98"/>
      <c r="J138" s="98"/>
      <c r="K138" s="98"/>
      <c r="L138" s="98"/>
      <c r="M138" s="98"/>
      <c r="N138" s="98"/>
      <c r="O138" s="98">
        <v>13</v>
      </c>
      <c r="P138" s="98">
        <v>11</v>
      </c>
      <c r="Q138" s="98"/>
      <c r="R138" s="97"/>
      <c r="S138" s="76">
        <f>SUM(Table7[[#This Row],[1]:[12]])</f>
        <v>37</v>
      </c>
      <c r="T138" s="76">
        <f>COUNTIF(G138:R138,"&gt;1")</f>
        <v>3</v>
      </c>
      <c r="U138" s="9" t="s">
        <v>220</v>
      </c>
      <c r="V138" s="3" t="str">
        <f>IF(Table7[[#This Row],[Observed? Y or N]]="N", "-20", "0")</f>
        <v>0</v>
      </c>
      <c r="W138">
        <f>Table7[[#This Row],[Total]]+Table7[[#This Row],[Penalty Applied]]</f>
        <v>37</v>
      </c>
      <c r="X138" s="3"/>
    </row>
    <row r="139" spans="5:26" x14ac:dyDescent="0.3">
      <c r="E139" s="97" t="s">
        <v>146</v>
      </c>
      <c r="F139" s="76" t="s">
        <v>84</v>
      </c>
      <c r="G139" s="98"/>
      <c r="H139" s="98">
        <v>15</v>
      </c>
      <c r="I139" s="98"/>
      <c r="J139" s="98"/>
      <c r="K139" s="98"/>
      <c r="L139" s="98"/>
      <c r="M139" s="98"/>
      <c r="N139" s="98"/>
      <c r="O139" s="98">
        <v>20</v>
      </c>
      <c r="P139" s="98"/>
      <c r="Q139" s="98"/>
      <c r="R139" s="97"/>
      <c r="S139" s="76">
        <f>SUM(Table7[[#This Row],[1]:[12]])</f>
        <v>35</v>
      </c>
      <c r="T139" s="76">
        <f>COUNTIF(G139:R139,"&gt;1")</f>
        <v>2</v>
      </c>
      <c r="U139" s="9" t="s">
        <v>220</v>
      </c>
      <c r="V139" s="3" t="str">
        <f>IF(Table7[[#This Row],[Observed? Y or N]]="N", "-20", "0")</f>
        <v>0</v>
      </c>
      <c r="W139">
        <f>Table7[[#This Row],[Total]]+Table7[[#This Row],[Penalty Applied]]</f>
        <v>35</v>
      </c>
      <c r="X139" s="3"/>
    </row>
    <row r="140" spans="5:26" x14ac:dyDescent="0.3">
      <c r="E140" s="39" t="s">
        <v>166</v>
      </c>
      <c r="F140" s="39" t="s">
        <v>84</v>
      </c>
      <c r="G140" s="40"/>
      <c r="H140" s="40"/>
      <c r="I140" s="40">
        <v>17</v>
      </c>
      <c r="J140" s="40"/>
      <c r="K140" s="40"/>
      <c r="L140" s="40">
        <v>17</v>
      </c>
      <c r="M140" s="40"/>
      <c r="N140" s="40"/>
      <c r="O140" s="40"/>
      <c r="P140" s="40"/>
      <c r="Q140" s="40"/>
      <c r="R140" s="39"/>
      <c r="S140" s="41">
        <f>SUM(Table7[[#This Row],[1]:[12]])</f>
        <v>34</v>
      </c>
      <c r="T140" s="41">
        <f>COUNTIF(G140:R140,"&gt;1")</f>
        <v>2</v>
      </c>
      <c r="U140" s="9" t="s">
        <v>63</v>
      </c>
      <c r="V140" s="43" t="str">
        <f>IF(Table7[[#This Row],[Observed? Y or N]]="N", "-20", "0")</f>
        <v>-20</v>
      </c>
      <c r="W140" s="38">
        <f>Table7[[#This Row],[Total]]-Table7[[#This Row],[11]]</f>
        <v>34</v>
      </c>
      <c r="X140" s="3"/>
    </row>
    <row r="141" spans="5:26" x14ac:dyDescent="0.3">
      <c r="E141" s="104" t="s">
        <v>123</v>
      </c>
      <c r="F141" s="104" t="s">
        <v>97</v>
      </c>
      <c r="G141" s="106">
        <v>17</v>
      </c>
      <c r="H141" s="106"/>
      <c r="I141" s="106"/>
      <c r="J141" s="106"/>
      <c r="K141" s="106"/>
      <c r="L141" s="106"/>
      <c r="M141" s="106"/>
      <c r="N141" s="106"/>
      <c r="O141" s="106"/>
      <c r="P141" s="106">
        <v>13</v>
      </c>
      <c r="Q141" s="106"/>
      <c r="R141" s="104"/>
      <c r="S141" s="105">
        <f>SUM(Table7[[#This Row],[1]:[12]])</f>
        <v>30</v>
      </c>
      <c r="T141" s="76">
        <f>COUNTIF(G141:R141,"&gt;1")</f>
        <v>2</v>
      </c>
      <c r="U141" s="9" t="s">
        <v>220</v>
      </c>
      <c r="V141" s="3" t="str">
        <f>IF(Table7[[#This Row],[Observed? Y or N]]="N", "-20", "0")</f>
        <v>0</v>
      </c>
      <c r="W141">
        <f>Table7[[#This Row],[Total]]+Table7[[#This Row],[Penalty Applied]]</f>
        <v>30</v>
      </c>
      <c r="X141" s="3"/>
    </row>
    <row r="142" spans="5:26" x14ac:dyDescent="0.3">
      <c r="E142" s="39" t="s">
        <v>201</v>
      </c>
      <c r="F142" s="41" t="s">
        <v>29</v>
      </c>
      <c r="G142" s="40"/>
      <c r="H142" s="40"/>
      <c r="I142" s="40"/>
      <c r="J142" s="40"/>
      <c r="K142" s="40"/>
      <c r="L142" s="40">
        <v>20</v>
      </c>
      <c r="M142" s="40">
        <v>15</v>
      </c>
      <c r="N142" s="40"/>
      <c r="O142" s="40"/>
      <c r="P142" s="40">
        <v>15</v>
      </c>
      <c r="Q142" s="40"/>
      <c r="R142" s="39"/>
      <c r="S142" s="76">
        <f>SUM(Table7[[#This Row],[1]:[12]])</f>
        <v>50</v>
      </c>
      <c r="T142" s="76">
        <f>COUNTIF(G142:R142,"&gt;1")</f>
        <v>3</v>
      </c>
      <c r="U142" s="9" t="s">
        <v>63</v>
      </c>
      <c r="V142" s="43" t="str">
        <f>IF(Table7[[#This Row],[Observed? Y or N]]="N", "-20", "0")</f>
        <v>-20</v>
      </c>
      <c r="W142" s="38">
        <f>Table7[[#This Row],[Total]]+Table7[[#This Row],[Penalty Applied]]</f>
        <v>30</v>
      </c>
      <c r="X142" s="3"/>
    </row>
    <row r="143" spans="5:26" x14ac:dyDescent="0.3">
      <c r="E143" s="97" t="s">
        <v>167</v>
      </c>
      <c r="F143" s="97" t="s">
        <v>41</v>
      </c>
      <c r="G143" s="98"/>
      <c r="H143" s="98"/>
      <c r="I143" s="98">
        <v>11</v>
      </c>
      <c r="J143" s="98">
        <v>17</v>
      </c>
      <c r="K143" s="98"/>
      <c r="L143" s="98"/>
      <c r="M143" s="98"/>
      <c r="N143" s="98"/>
      <c r="O143" s="98"/>
      <c r="P143" s="98"/>
      <c r="Q143" s="98"/>
      <c r="R143" s="97"/>
      <c r="S143" s="76">
        <f>SUM(Table7[[#This Row],[1]:[12]])</f>
        <v>28</v>
      </c>
      <c r="T143" s="76">
        <f>COUNTIF(G143:R143,"&gt;1")</f>
        <v>2</v>
      </c>
      <c r="U143" s="9" t="s">
        <v>220</v>
      </c>
      <c r="V143" s="3" t="str">
        <f>IF(Table7[[#This Row],[Observed? Y or N]]="N", "-20", "0")</f>
        <v>0</v>
      </c>
      <c r="W143">
        <f>Table7[[#This Row],[Total]]+Table7[[#This Row],[Penalty Applied]]</f>
        <v>28</v>
      </c>
      <c r="X143" s="3"/>
    </row>
    <row r="144" spans="5:26" ht="15" x14ac:dyDescent="0.3">
      <c r="E144" s="39" t="s">
        <v>214</v>
      </c>
      <c r="F144" s="39"/>
      <c r="G144" s="40"/>
      <c r="H144" s="40"/>
      <c r="I144" s="40"/>
      <c r="J144" s="40"/>
      <c r="K144" s="40"/>
      <c r="L144" s="40"/>
      <c r="M144" s="40">
        <v>20</v>
      </c>
      <c r="N144" s="40"/>
      <c r="O144" s="40"/>
      <c r="P144" s="40">
        <v>20</v>
      </c>
      <c r="Q144" s="40"/>
      <c r="R144" s="39"/>
      <c r="S144" s="76">
        <f>SUM(Table7[[#This Row],[1]:[12]])</f>
        <v>40</v>
      </c>
      <c r="T144" s="76">
        <f>COUNTIF(G144:R144,"&gt;1")</f>
        <v>2</v>
      </c>
      <c r="U144" s="9" t="s">
        <v>63</v>
      </c>
      <c r="V144" s="43" t="str">
        <f>IF(Table7[[#This Row],[Observed? Y or N]]="N", "-20", "0")</f>
        <v>-20</v>
      </c>
      <c r="W144" s="38">
        <f>Table7[[#This Row],[Total]]+Table7[[#This Row],[Penalty Applied]]</f>
        <v>20</v>
      </c>
      <c r="X144" s="3"/>
      <c r="Z144" s="33"/>
    </row>
    <row r="145" spans="5:26" ht="15" x14ac:dyDescent="0.3">
      <c r="E145" s="97" t="s">
        <v>100</v>
      </c>
      <c r="F145" s="76" t="s">
        <v>29</v>
      </c>
      <c r="G145" s="98"/>
      <c r="H145" s="98"/>
      <c r="I145" s="98"/>
      <c r="J145" s="98"/>
      <c r="K145" s="98"/>
      <c r="L145" s="98"/>
      <c r="M145" s="98"/>
      <c r="N145" s="98">
        <v>17</v>
      </c>
      <c r="O145" s="98"/>
      <c r="P145" s="98"/>
      <c r="Q145" s="98"/>
      <c r="R145" s="97"/>
      <c r="S145" s="76">
        <f>SUM(Table7[[#This Row],[1]:[12]])</f>
        <v>17</v>
      </c>
      <c r="T145" s="76">
        <f>COUNTIF(G145:R145,"&gt;1")</f>
        <v>1</v>
      </c>
      <c r="U145" s="9" t="s">
        <v>220</v>
      </c>
      <c r="V145" s="3" t="str">
        <f>IF(Table7[[#This Row],[Observed? Y or N]]="N", "-20", "0")</f>
        <v>0</v>
      </c>
      <c r="W145">
        <f>Table7[[#This Row],[Total]]+Table7[[#This Row],[Penalty Applied]]</f>
        <v>17</v>
      </c>
      <c r="X145" s="3"/>
      <c r="Z145" s="33"/>
    </row>
    <row r="146" spans="5:26" ht="15" x14ac:dyDescent="0.3">
      <c r="E146" s="39" t="s">
        <v>82</v>
      </c>
      <c r="F146" s="39" t="s">
        <v>87</v>
      </c>
      <c r="G146" s="40">
        <v>13</v>
      </c>
      <c r="H146" s="40"/>
      <c r="I146" s="40">
        <v>10</v>
      </c>
      <c r="J146" s="40"/>
      <c r="K146" s="40"/>
      <c r="L146" s="40"/>
      <c r="M146" s="40"/>
      <c r="N146" s="40"/>
      <c r="O146" s="40"/>
      <c r="P146" s="40"/>
      <c r="Q146" s="40">
        <v>10</v>
      </c>
      <c r="R146" s="39"/>
      <c r="S146" s="41">
        <f>SUM(Table7[[#This Row],[1]:[12]])</f>
        <v>33</v>
      </c>
      <c r="T146" s="41">
        <f>COUNTIF(G146:R146,"&gt;1")</f>
        <v>3</v>
      </c>
      <c r="U146" s="9" t="s">
        <v>63</v>
      </c>
      <c r="V146" s="43" t="str">
        <f>IF(Table7[[#This Row],[Observed? Y or N]]="N", "-20", "0")</f>
        <v>-20</v>
      </c>
      <c r="W146" s="38">
        <f>Table7[[#This Row],[Total]]+Table7[[#This Row],[Penalty Applied]]</f>
        <v>13</v>
      </c>
      <c r="X146" s="3"/>
      <c r="Z146" s="34"/>
    </row>
    <row r="147" spans="5:26" ht="15" x14ac:dyDescent="0.3">
      <c r="E147" s="97" t="s">
        <v>243</v>
      </c>
      <c r="F147" s="97" t="s">
        <v>27</v>
      </c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>
        <v>11</v>
      </c>
      <c r="R147" s="97"/>
      <c r="S147" s="76">
        <f>SUM(Table7[[#This Row],[1]:[12]])</f>
        <v>11</v>
      </c>
      <c r="T147" s="76">
        <f>COUNTIF(G147:R147,"&gt;1")</f>
        <v>1</v>
      </c>
      <c r="U147" s="9" t="s">
        <v>220</v>
      </c>
      <c r="V147" s="3" t="str">
        <f>IF(Table7[[#This Row],[Observed? Y or N]]="N", "-20", "0")</f>
        <v>0</v>
      </c>
      <c r="W147">
        <f>Table7[[#This Row],[Total]]+Table7[[#This Row],[Penalty Applied]]</f>
        <v>11</v>
      </c>
      <c r="X147" s="3"/>
      <c r="Z147" s="33"/>
    </row>
    <row r="148" spans="5:26" x14ac:dyDescent="0.3">
      <c r="E148" s="39" t="s">
        <v>89</v>
      </c>
      <c r="F148" s="39" t="s">
        <v>29</v>
      </c>
      <c r="G148" s="40">
        <v>20</v>
      </c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39"/>
      <c r="S148" s="41">
        <f>SUM(Table7[[#This Row],[1]:[12]])</f>
        <v>20</v>
      </c>
      <c r="T148" s="41">
        <f>COUNTIF(G148:R148,"&gt;1")</f>
        <v>1</v>
      </c>
      <c r="U148" s="9" t="s">
        <v>63</v>
      </c>
      <c r="V148" s="43" t="str">
        <f>IF(Table7[[#This Row],[Observed? Y or N]]="N", "-20", "0")</f>
        <v>-20</v>
      </c>
      <c r="W148" s="38">
        <f>Table7[[#This Row],[Total]]+Table7[[#This Row],[Penalty Applied]]</f>
        <v>0</v>
      </c>
      <c r="X148" s="3"/>
    </row>
    <row r="149" spans="5:26" x14ac:dyDescent="0.3">
      <c r="E149" s="39" t="s">
        <v>240</v>
      </c>
      <c r="F149" s="39" t="s">
        <v>26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>
        <v>20</v>
      </c>
      <c r="R149" s="39"/>
      <c r="S149" s="41">
        <f>SUM(Table7[[#This Row],[1]:[12]])</f>
        <v>20</v>
      </c>
      <c r="T149" s="41">
        <f>COUNTIF(G149:R149,"&gt;1")</f>
        <v>1</v>
      </c>
      <c r="U149" s="9" t="s">
        <v>63</v>
      </c>
      <c r="V149" s="43" t="str">
        <f>IF(Table7[[#This Row],[Observed? Y or N]]="N", "-20", "0")</f>
        <v>-20</v>
      </c>
      <c r="W149" s="38">
        <f>Table7[[#This Row],[Total]]+Table7[[#This Row],[Penalty Applied]]</f>
        <v>0</v>
      </c>
      <c r="X149" s="3"/>
    </row>
    <row r="150" spans="5:26" x14ac:dyDescent="0.3">
      <c r="E150" s="39" t="s">
        <v>145</v>
      </c>
      <c r="F150" s="39" t="s">
        <v>30</v>
      </c>
      <c r="G150" s="40"/>
      <c r="H150" s="40">
        <v>17</v>
      </c>
      <c r="I150" s="40"/>
      <c r="J150" s="40"/>
      <c r="K150" s="40"/>
      <c r="L150" s="40"/>
      <c r="M150" s="40"/>
      <c r="N150" s="40"/>
      <c r="O150" s="40"/>
      <c r="P150" s="40"/>
      <c r="Q150" s="40"/>
      <c r="R150" s="39"/>
      <c r="S150" s="41">
        <f>SUM(Table7[[#This Row],[1]:[12]])</f>
        <v>17</v>
      </c>
      <c r="T150" s="41">
        <f>COUNTIF(G150:R150,"&gt;1")</f>
        <v>1</v>
      </c>
      <c r="U150" s="9" t="s">
        <v>63</v>
      </c>
      <c r="V150" s="43" t="str">
        <f>IF(Table7[[#This Row],[Observed? Y or N]]="N", "-20", "0")</f>
        <v>-20</v>
      </c>
      <c r="W150" s="38">
        <f>Table7[[#This Row],[Total]]+Table7[[#This Row],[Penalty Applied]]</f>
        <v>-3</v>
      </c>
      <c r="X150" s="3"/>
    </row>
    <row r="151" spans="5:26" x14ac:dyDescent="0.3">
      <c r="E151" s="39" t="s">
        <v>154</v>
      </c>
      <c r="F151" s="41" t="s">
        <v>25</v>
      </c>
      <c r="G151" s="40"/>
      <c r="H151" s="40"/>
      <c r="I151" s="40"/>
      <c r="J151" s="40"/>
      <c r="K151" s="40"/>
      <c r="L151" s="40"/>
      <c r="M151" s="40">
        <v>17</v>
      </c>
      <c r="N151" s="40"/>
      <c r="O151" s="40"/>
      <c r="P151" s="40"/>
      <c r="Q151" s="40"/>
      <c r="R151" s="39"/>
      <c r="S151" s="76">
        <f>SUM(Table7[[#This Row],[1]:[12]])</f>
        <v>17</v>
      </c>
      <c r="T151" s="76">
        <f>COUNTIF(G151:R151,"&gt;1")</f>
        <v>1</v>
      </c>
      <c r="U151" s="9" t="s">
        <v>63</v>
      </c>
      <c r="V151" s="43" t="str">
        <f>IF(Table7[[#This Row],[Observed? Y or N]]="N", "-20", "0")</f>
        <v>-20</v>
      </c>
      <c r="W151" s="38">
        <f>Table7[[#This Row],[Total]]+Table7[[#This Row],[Penalty Applied]]</f>
        <v>-3</v>
      </c>
      <c r="X151" s="3"/>
    </row>
    <row r="152" spans="5:26" x14ac:dyDescent="0.3">
      <c r="E152" s="39" t="s">
        <v>193</v>
      </c>
      <c r="F152" s="39" t="s">
        <v>27</v>
      </c>
      <c r="G152" s="40"/>
      <c r="H152" s="40"/>
      <c r="I152" s="40"/>
      <c r="J152" s="40"/>
      <c r="K152" s="40"/>
      <c r="L152" s="40"/>
      <c r="M152" s="40"/>
      <c r="N152" s="40"/>
      <c r="O152" s="40">
        <v>17</v>
      </c>
      <c r="P152" s="40"/>
      <c r="Q152" s="40"/>
      <c r="R152" s="39"/>
      <c r="S152" s="41">
        <f>SUM(Table7[[#This Row],[1]:[12]])</f>
        <v>17</v>
      </c>
      <c r="T152" s="41">
        <f>COUNTIF(G152:R152,"&gt;1")</f>
        <v>1</v>
      </c>
      <c r="U152" s="9" t="s">
        <v>63</v>
      </c>
      <c r="V152" s="43" t="str">
        <f>IF(Table7[[#This Row],[Observed? Y or N]]="N", "-20", "0")</f>
        <v>-20</v>
      </c>
      <c r="W152" s="38">
        <f>Table7[[#This Row],[Total]]+Table7[[#This Row],[Penalty Applied]]</f>
        <v>-3</v>
      </c>
      <c r="X152" s="3"/>
    </row>
    <row r="153" spans="5:26" x14ac:dyDescent="0.3">
      <c r="E153" s="39" t="s">
        <v>241</v>
      </c>
      <c r="F153" s="39" t="s">
        <v>25</v>
      </c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>
        <v>17</v>
      </c>
      <c r="R153" s="39"/>
      <c r="S153" s="41">
        <f>SUM(Table7[[#This Row],[1]:[12]])</f>
        <v>17</v>
      </c>
      <c r="T153" s="41">
        <f>COUNTIF(G153:R153,"&gt;1")</f>
        <v>1</v>
      </c>
      <c r="U153" s="9" t="s">
        <v>63</v>
      </c>
      <c r="V153" s="43" t="str">
        <f>IF(Table7[[#This Row],[Observed? Y or N]]="N", "-20", "0")</f>
        <v>-20</v>
      </c>
      <c r="W153" s="38">
        <f>Table7[[#This Row],[Total]]+Table7[[#This Row],[Penalty Applied]]</f>
        <v>-3</v>
      </c>
      <c r="X153" s="3"/>
    </row>
    <row r="154" spans="5:26" x14ac:dyDescent="0.3">
      <c r="E154" s="39" t="s">
        <v>242</v>
      </c>
      <c r="F154" s="39" t="s">
        <v>51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>
        <v>15</v>
      </c>
      <c r="R154" s="39"/>
      <c r="S154" s="41">
        <f>SUM(Table7[[#This Row],[1]:[12]])</f>
        <v>15</v>
      </c>
      <c r="T154" s="41">
        <f>COUNTIF(G154:R154,"&gt;1")</f>
        <v>1</v>
      </c>
      <c r="U154" s="9" t="s">
        <v>63</v>
      </c>
      <c r="V154" s="43" t="str">
        <f>IF(Table7[[#This Row],[Observed? Y or N]]="N", "-20", "0")</f>
        <v>-20</v>
      </c>
      <c r="W154" s="38">
        <f>Table7[[#This Row],[Total]]+Table7[[#This Row],[Penalty Applied]]</f>
        <v>-5</v>
      </c>
      <c r="X154" s="3"/>
    </row>
    <row r="155" spans="5:26" x14ac:dyDescent="0.3">
      <c r="E155" s="39" t="s">
        <v>215</v>
      </c>
      <c r="F155" s="39" t="s">
        <v>86</v>
      </c>
      <c r="G155" s="40"/>
      <c r="H155" s="40"/>
      <c r="I155" s="40"/>
      <c r="J155" s="40"/>
      <c r="K155" s="40"/>
      <c r="L155" s="40"/>
      <c r="M155" s="40">
        <v>11</v>
      </c>
      <c r="N155" s="40"/>
      <c r="O155" s="40"/>
      <c r="P155" s="40"/>
      <c r="Q155" s="40"/>
      <c r="R155" s="39"/>
      <c r="S155" s="41">
        <f>SUM(Table7[[#This Row],[1]:[12]])</f>
        <v>11</v>
      </c>
      <c r="T155" s="41">
        <f>COUNTIF(G155:R155,"&gt;1")</f>
        <v>1</v>
      </c>
      <c r="U155" s="9" t="s">
        <v>63</v>
      </c>
      <c r="V155" s="43" t="str">
        <f>IF(Table7[[#This Row],[Observed? Y or N]]="N", "-20", "0")</f>
        <v>-20</v>
      </c>
      <c r="W155" s="38">
        <f>Table7[[#This Row],[Total]]+Table7[[#This Row],[Penalty Applied]]</f>
        <v>-9</v>
      </c>
      <c r="X155" s="3"/>
    </row>
    <row r="156" spans="5:26" x14ac:dyDescent="0.3">
      <c r="E156" s="39" t="s">
        <v>230</v>
      </c>
      <c r="F156" s="39" t="s">
        <v>25</v>
      </c>
      <c r="G156" s="40"/>
      <c r="H156" s="40"/>
      <c r="I156" s="40"/>
      <c r="J156" s="40"/>
      <c r="K156" s="40"/>
      <c r="L156" s="40"/>
      <c r="M156" s="40"/>
      <c r="N156" s="40"/>
      <c r="O156" s="40">
        <v>10</v>
      </c>
      <c r="P156" s="40"/>
      <c r="Q156" s="40"/>
      <c r="R156" s="39"/>
      <c r="S156" s="41">
        <f>SUM(Table7[[#This Row],[1]:[12]])</f>
        <v>10</v>
      </c>
      <c r="T156" s="41">
        <f>COUNTIF(L156:R156,"&gt;1")</f>
        <v>1</v>
      </c>
      <c r="U156" s="9" t="s">
        <v>63</v>
      </c>
      <c r="V156" s="43" t="str">
        <f>IF(Table7[[#This Row],[Observed? Y or N]]="N", "-20", "0")</f>
        <v>-20</v>
      </c>
      <c r="W156" s="38">
        <f>Table7[[#This Row],[Total]]+Table7[[#This Row],[Penalty Applied]]</f>
        <v>-10</v>
      </c>
      <c r="X156" s="3"/>
    </row>
    <row r="157" spans="5:26" x14ac:dyDescent="0.3">
      <c r="E157" s="39" t="s">
        <v>232</v>
      </c>
      <c r="F157" s="41" t="s">
        <v>29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>
        <v>10</v>
      </c>
      <c r="Q157" s="40"/>
      <c r="R157" s="39"/>
      <c r="S157" s="41">
        <f>SUM(Table7[[#This Row],[1]:[12]])</f>
        <v>10</v>
      </c>
      <c r="T157" s="41">
        <f>COUNTIF(G157:R157,"&gt;1")</f>
        <v>1</v>
      </c>
      <c r="U157" s="9" t="s">
        <v>63</v>
      </c>
      <c r="V157" s="43" t="str">
        <f>IF(Table7[[#This Row],[Observed? Y or N]]="N", "-20", "0")</f>
        <v>-20</v>
      </c>
      <c r="W157" s="38">
        <f>Table7[[#This Row],[Total]]+Table7[[#This Row],[Penalty Applied]]</f>
        <v>-10</v>
      </c>
      <c r="X157" s="3"/>
    </row>
    <row r="158" spans="5:26" x14ac:dyDescent="0.3">
      <c r="E158" s="39" t="s">
        <v>156</v>
      </c>
      <c r="F158" s="41" t="s">
        <v>25</v>
      </c>
      <c r="G158" s="40"/>
      <c r="H158" s="40"/>
      <c r="I158" s="40"/>
      <c r="J158" s="40"/>
      <c r="K158" s="40"/>
      <c r="L158" s="40"/>
      <c r="M158" s="40"/>
      <c r="N158" s="40"/>
      <c r="O158" s="40">
        <v>9</v>
      </c>
      <c r="P158" s="40"/>
      <c r="Q158" s="40"/>
      <c r="R158" s="39"/>
      <c r="S158" s="41">
        <f>SUM(Table7[[#This Row],[1]:[12]])</f>
        <v>9</v>
      </c>
      <c r="T158" s="41">
        <f>COUNTIF(G158:R158,"&gt;1")</f>
        <v>1</v>
      </c>
      <c r="U158" s="9" t="s">
        <v>63</v>
      </c>
      <c r="V158" s="43" t="str">
        <f>IF(Table7[[#This Row],[Observed? Y or N]]="N", "-20", "0")</f>
        <v>-20</v>
      </c>
      <c r="W158" s="38">
        <f>Table7[[#This Row],[Total]]+Table7[[#This Row],[Penalty Applied]]</f>
        <v>-11</v>
      </c>
      <c r="X158" s="3"/>
    </row>
    <row r="159" spans="5:26" x14ac:dyDescent="0.3">
      <c r="E159" s="39"/>
      <c r="F159" s="41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39"/>
      <c r="S159" s="41">
        <f>SUM(Table7[[#This Row],[1]:[12]])</f>
        <v>0</v>
      </c>
      <c r="T159" s="41">
        <f>COUNTIF(G159:R159,"&gt;1")</f>
        <v>0</v>
      </c>
      <c r="U159" s="9" t="s">
        <v>63</v>
      </c>
      <c r="V159" s="43" t="str">
        <f>IF(Table7[[#This Row],[Observed? Y or N]]="N", "-20", "0")</f>
        <v>-20</v>
      </c>
      <c r="W159" s="38">
        <f>Table7[[#This Row],[Total]]+Table7[[#This Row],[Penalty Applied]]</f>
        <v>-20</v>
      </c>
      <c r="X159" s="3"/>
    </row>
    <row r="160" spans="5:26" x14ac:dyDescent="0.3">
      <c r="E160" s="39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39"/>
      <c r="S160" s="41">
        <f>SUM(Table7[[#This Row],[1]:[12]])</f>
        <v>0</v>
      </c>
      <c r="T160" s="41">
        <f>COUNTIF(G160:R160,"&gt;1")</f>
        <v>0</v>
      </c>
      <c r="U160" s="9" t="s">
        <v>63</v>
      </c>
      <c r="V160" s="43" t="str">
        <f>IF(Table7[[#This Row],[Observed? Y or N]]="N", "-20", "0")</f>
        <v>-20</v>
      </c>
      <c r="W160" s="38">
        <f>Table7[[#This Row],[Total]]+Table7[[#This Row],[Penalty Applied]]</f>
        <v>-20</v>
      </c>
      <c r="X160" s="3"/>
    </row>
    <row r="161" spans="5:24" x14ac:dyDescent="0.3">
      <c r="E161" s="39"/>
      <c r="F161" s="41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39"/>
      <c r="S161" s="41">
        <f>SUM(Table7[[#This Row],[1]:[12]])</f>
        <v>0</v>
      </c>
      <c r="T161" s="41">
        <f>COUNTIF(G161:R161,"&gt;1")</f>
        <v>0</v>
      </c>
      <c r="U161" s="9" t="s">
        <v>63</v>
      </c>
      <c r="V161" s="43" t="str">
        <f>IF(Table7[[#This Row],[Observed? Y or N]]="N", "-20", "0")</f>
        <v>-20</v>
      </c>
      <c r="W161" s="38">
        <f>Table7[[#This Row],[Total]]+Table7[[#This Row],[Penalty Applied]]</f>
        <v>-20</v>
      </c>
      <c r="X161" s="3"/>
    </row>
    <row r="162" spans="5:24" x14ac:dyDescent="0.3">
      <c r="E162" s="39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39"/>
      <c r="S162" s="41">
        <f>SUM(Table7[[#This Row],[1]:[12]])</f>
        <v>0</v>
      </c>
      <c r="T162" s="41">
        <f>COUNTIF(M162:R162,"&gt;1")</f>
        <v>0</v>
      </c>
      <c r="U162" s="9" t="s">
        <v>63</v>
      </c>
      <c r="V162" s="43" t="str">
        <f>IF(Table7[[#This Row],[Observed? Y or N]]="N", "-20", "0")</f>
        <v>-20</v>
      </c>
      <c r="W162" s="38">
        <f>Table7[[#This Row],[Total]]+Table7[[#This Row],[Penalty Applied]]</f>
        <v>-20</v>
      </c>
      <c r="X162" s="3"/>
    </row>
    <row r="163" spans="5:24" x14ac:dyDescent="0.3">
      <c r="E163" s="39"/>
      <c r="F163" s="41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39"/>
      <c r="S163" s="41">
        <f>SUM(Table7[[#This Row],[1]:[12]])</f>
        <v>0</v>
      </c>
      <c r="T163" s="41">
        <f>COUNTIF(G163:R163,"&gt;1")</f>
        <v>0</v>
      </c>
      <c r="U163" s="9" t="s">
        <v>63</v>
      </c>
      <c r="V163" s="43" t="str">
        <f>IF(Table7[[#This Row],[Observed? Y or N]]="N", "-20", "0")</f>
        <v>-20</v>
      </c>
      <c r="W163" s="38">
        <f>Table7[[#This Row],[Total]]+Table7[[#This Row],[Penalty Applied]]</f>
        <v>-20</v>
      </c>
      <c r="X163" s="3"/>
    </row>
    <row r="164" spans="5:24" x14ac:dyDescent="0.3">
      <c r="E164" s="39"/>
      <c r="F164" s="41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39"/>
      <c r="S164" s="41">
        <f>SUM(Table7[[#This Row],[1]:[12]])</f>
        <v>0</v>
      </c>
      <c r="T164" s="41">
        <f>COUNTIF(G164:R164,"&gt;1")</f>
        <v>0</v>
      </c>
      <c r="U164" s="9" t="s">
        <v>63</v>
      </c>
      <c r="V164" s="43" t="str">
        <f>IF(Table7[[#This Row],[Observed? Y or N]]="N", "-20", "0")</f>
        <v>-20</v>
      </c>
      <c r="W164" s="38">
        <f>Table7[[#This Row],[Total]]+Table7[[#This Row],[Penalty Applied]]</f>
        <v>-20</v>
      </c>
      <c r="X164" s="3"/>
    </row>
    <row r="166" spans="5:24" ht="15" thickBot="1" x14ac:dyDescent="0.35"/>
    <row r="167" spans="5:24" ht="154.19999999999999" thickBot="1" x14ac:dyDescent="0.35">
      <c r="E167" s="36" t="s">
        <v>37</v>
      </c>
      <c r="F167" s="36" t="s">
        <v>91</v>
      </c>
      <c r="G167" s="37" t="s">
        <v>65</v>
      </c>
      <c r="H167" s="37" t="s">
        <v>66</v>
      </c>
      <c r="I167" s="37" t="s">
        <v>67</v>
      </c>
      <c r="J167" s="37" t="s">
        <v>68</v>
      </c>
      <c r="K167" s="37" t="s">
        <v>69</v>
      </c>
      <c r="L167" s="37" t="s">
        <v>70</v>
      </c>
      <c r="M167" s="37" t="s">
        <v>71</v>
      </c>
      <c r="N167" s="37" t="s">
        <v>72</v>
      </c>
      <c r="O167" s="37" t="s">
        <v>73</v>
      </c>
      <c r="P167" s="37" t="s">
        <v>74</v>
      </c>
      <c r="Q167" s="37" t="s">
        <v>75</v>
      </c>
      <c r="R167" s="37" t="s">
        <v>76</v>
      </c>
      <c r="S167" s="7" t="s">
        <v>31</v>
      </c>
      <c r="T167" s="7" t="s">
        <v>42</v>
      </c>
      <c r="U167" s="54" t="s">
        <v>61</v>
      </c>
      <c r="V167" s="7" t="s">
        <v>64</v>
      </c>
      <c r="W167" s="32" t="s">
        <v>62</v>
      </c>
      <c r="X167" s="32" t="s">
        <v>15</v>
      </c>
    </row>
    <row r="168" spans="5:24" x14ac:dyDescent="0.3">
      <c r="E168" s="97" t="s">
        <v>153</v>
      </c>
      <c r="F168" s="97" t="s">
        <v>25</v>
      </c>
      <c r="G168" s="77"/>
      <c r="H168" s="98">
        <v>13</v>
      </c>
      <c r="I168" s="98">
        <v>20</v>
      </c>
      <c r="J168" s="98"/>
      <c r="K168" s="98"/>
      <c r="L168" s="98"/>
      <c r="M168" s="98"/>
      <c r="N168" s="98"/>
      <c r="O168" s="98"/>
      <c r="P168" s="98">
        <v>20</v>
      </c>
      <c r="Q168" s="98">
        <v>17</v>
      </c>
      <c r="R168" s="97">
        <v>20</v>
      </c>
      <c r="S168" s="78">
        <f>SUM(Table8[[#This Row],[1]:[12]])</f>
        <v>90</v>
      </c>
      <c r="T168" s="78">
        <f>COUNTIF(G168:R168,"&gt;1")</f>
        <v>5</v>
      </c>
      <c r="U168" s="9" t="s">
        <v>220</v>
      </c>
      <c r="V168" s="2" t="str">
        <f>IF(Table8[[#This Row],[Observed? Y or N]]="N", "-20", "0")</f>
        <v>0</v>
      </c>
      <c r="W168" s="3">
        <f>Table8[[#This Row],[Total]]+Table8[[#This Row],[Penalty Applied]]</f>
        <v>90</v>
      </c>
      <c r="X168" s="2" t="s">
        <v>0</v>
      </c>
    </row>
    <row r="169" spans="5:24" x14ac:dyDescent="0.3">
      <c r="E169" s="97" t="s">
        <v>149</v>
      </c>
      <c r="F169" s="97" t="s">
        <v>150</v>
      </c>
      <c r="G169" s="77"/>
      <c r="H169" s="98">
        <v>20</v>
      </c>
      <c r="I169" s="98"/>
      <c r="J169" s="98"/>
      <c r="K169" s="98">
        <v>15</v>
      </c>
      <c r="L169" s="98">
        <v>20</v>
      </c>
      <c r="M169" s="98"/>
      <c r="N169" s="98"/>
      <c r="O169" s="98"/>
      <c r="P169" s="98"/>
      <c r="Q169" s="98">
        <v>13</v>
      </c>
      <c r="R169" s="97">
        <v>17</v>
      </c>
      <c r="S169" s="76">
        <f>SUM(Table8[[#This Row],[1]:[12]])</f>
        <v>85</v>
      </c>
      <c r="T169" s="76">
        <f>COUNTIF(G169:R169,"&gt;1")</f>
        <v>5</v>
      </c>
      <c r="U169" s="9" t="s">
        <v>220</v>
      </c>
      <c r="V169" s="3" t="str">
        <f>IF(Table8[[#This Row],[Observed? Y or N]]="N", "-20", "0")</f>
        <v>0</v>
      </c>
      <c r="W169" s="3">
        <f>Table8[[#This Row],[Total]]+Table8[[#This Row],[Penalty Applied]]</f>
        <v>85</v>
      </c>
      <c r="X169" s="3" t="s">
        <v>1</v>
      </c>
    </row>
    <row r="170" spans="5:24" x14ac:dyDescent="0.3">
      <c r="E170" s="97" t="s">
        <v>193</v>
      </c>
      <c r="F170" s="97" t="s">
        <v>27</v>
      </c>
      <c r="G170" s="77"/>
      <c r="H170" s="98"/>
      <c r="I170" s="98"/>
      <c r="J170" s="98"/>
      <c r="K170" s="98">
        <v>13</v>
      </c>
      <c r="L170" s="98">
        <v>17</v>
      </c>
      <c r="M170" s="98"/>
      <c r="N170" s="98">
        <v>13</v>
      </c>
      <c r="O170" s="98"/>
      <c r="P170" s="98">
        <v>17</v>
      </c>
      <c r="Q170" s="98">
        <v>8</v>
      </c>
      <c r="R170" s="97">
        <v>11</v>
      </c>
      <c r="S170" s="76">
        <f>SUM(Table8[[#This Row],[1]:[12]])</f>
        <v>79</v>
      </c>
      <c r="T170" s="76">
        <f>COUNTIF(G170:R170,"&gt;1")</f>
        <v>6</v>
      </c>
      <c r="U170" s="9" t="s">
        <v>220</v>
      </c>
      <c r="V170" s="3" t="str">
        <f>IF(Table8[[#This Row],[Observed? Y or N]]="N", "-20", "0")</f>
        <v>0</v>
      </c>
      <c r="W170" s="3">
        <f>Table8[[#This Row],[Total]]+Table8[[#This Row],[Penalty Applied]]</f>
        <v>79</v>
      </c>
      <c r="X170" s="3" t="s">
        <v>2</v>
      </c>
    </row>
    <row r="171" spans="5:24" x14ac:dyDescent="0.3">
      <c r="E171" s="97" t="s">
        <v>152</v>
      </c>
      <c r="F171" s="97" t="s">
        <v>150</v>
      </c>
      <c r="G171" s="77"/>
      <c r="H171" s="98">
        <v>15</v>
      </c>
      <c r="I171" s="98"/>
      <c r="J171" s="98"/>
      <c r="K171" s="98">
        <v>20</v>
      </c>
      <c r="L171" s="98"/>
      <c r="M171" s="98"/>
      <c r="N171" s="98">
        <v>11</v>
      </c>
      <c r="O171" s="98"/>
      <c r="P171" s="98"/>
      <c r="Q171" s="98">
        <v>9</v>
      </c>
      <c r="R171" s="97">
        <v>15</v>
      </c>
      <c r="S171" s="76">
        <f>SUM(Table8[[#This Row],[1]:[12]])</f>
        <v>70</v>
      </c>
      <c r="T171" s="76">
        <f>COUNTIF(G171:R171,"&gt;1")</f>
        <v>5</v>
      </c>
      <c r="U171" s="9" t="s">
        <v>220</v>
      </c>
      <c r="V171" s="3" t="str">
        <f>IF(Table8[[#This Row],[Observed? Y or N]]="N", "-20", "0")</f>
        <v>0</v>
      </c>
      <c r="W171" s="3">
        <f>Table8[[#This Row],[Total]]+Table8[[#This Row],[Penalty Applied]]</f>
        <v>70</v>
      </c>
      <c r="X171" s="3"/>
    </row>
    <row r="172" spans="5:24" x14ac:dyDescent="0.3">
      <c r="E172" s="97" t="s">
        <v>176</v>
      </c>
      <c r="F172" s="97" t="s">
        <v>30</v>
      </c>
      <c r="G172" s="77"/>
      <c r="H172" s="98"/>
      <c r="I172" s="98">
        <v>20</v>
      </c>
      <c r="J172" s="98"/>
      <c r="K172" s="98"/>
      <c r="L172" s="98"/>
      <c r="M172" s="98"/>
      <c r="N172" s="98"/>
      <c r="O172" s="98"/>
      <c r="P172" s="98"/>
      <c r="Q172" s="98">
        <v>20</v>
      </c>
      <c r="R172" s="97"/>
      <c r="S172" s="76">
        <f>SUM(Table8[[#This Row],[1]:[12]])</f>
        <v>40</v>
      </c>
      <c r="T172" s="76">
        <f>COUNTIF(G172:R172,"&gt;1")</f>
        <v>2</v>
      </c>
      <c r="U172" s="9" t="s">
        <v>220</v>
      </c>
      <c r="V172" s="3" t="str">
        <f>IF(Table8[[#This Row],[Observed? Y or N]]="N", "-20", "0")</f>
        <v>0</v>
      </c>
      <c r="W172" s="3">
        <f>Table8[[#This Row],[Total]]+Table8[[#This Row],[Penalty Applied]]</f>
        <v>40</v>
      </c>
      <c r="X172" s="3"/>
    </row>
    <row r="173" spans="5:24" x14ac:dyDescent="0.3">
      <c r="E173" s="97" t="s">
        <v>151</v>
      </c>
      <c r="F173" s="97" t="s">
        <v>86</v>
      </c>
      <c r="G173" s="77"/>
      <c r="H173" s="98">
        <v>17</v>
      </c>
      <c r="I173" s="98"/>
      <c r="J173" s="98"/>
      <c r="K173" s="98">
        <v>17</v>
      </c>
      <c r="L173" s="98"/>
      <c r="M173" s="98"/>
      <c r="N173" s="98"/>
      <c r="O173" s="98"/>
      <c r="P173" s="98"/>
      <c r="Q173" s="98"/>
      <c r="R173" s="97"/>
      <c r="S173" s="76">
        <f>SUM(Table8[[#This Row],[1]:[12]])</f>
        <v>34</v>
      </c>
      <c r="T173" s="76">
        <f>COUNTIF(G173:R173,"&gt;1")</f>
        <v>2</v>
      </c>
      <c r="U173" s="9" t="s">
        <v>220</v>
      </c>
      <c r="V173" s="3" t="str">
        <f>IF(Table8[[#This Row],[Observed? Y or N]]="N", "-20", "0")</f>
        <v>0</v>
      </c>
      <c r="W173" s="3">
        <f>Table8[[#This Row],[Total]]+Table8[[#This Row],[Penalty Applied]]</f>
        <v>34</v>
      </c>
      <c r="X173" s="3"/>
    </row>
    <row r="174" spans="5:24" x14ac:dyDescent="0.3">
      <c r="E174" s="97" t="s">
        <v>156</v>
      </c>
      <c r="F174" s="97" t="s">
        <v>25</v>
      </c>
      <c r="G174" s="77"/>
      <c r="H174" s="98">
        <v>9</v>
      </c>
      <c r="I174" s="98">
        <v>10</v>
      </c>
      <c r="J174" s="98"/>
      <c r="K174" s="98"/>
      <c r="L174" s="98"/>
      <c r="M174" s="98"/>
      <c r="N174" s="98"/>
      <c r="O174" s="98"/>
      <c r="P174" s="98"/>
      <c r="Q174" s="98"/>
      <c r="R174" s="97"/>
      <c r="S174" s="76">
        <f>SUM(Table8[[#This Row],[1]:[12]])</f>
        <v>19</v>
      </c>
      <c r="T174" s="76">
        <f>COUNTIF(G174:R174,"&gt;1")</f>
        <v>2</v>
      </c>
      <c r="U174" s="9" t="s">
        <v>220</v>
      </c>
      <c r="V174" s="53" t="str">
        <f>IF(Table8[[#This Row],[Observed? Y or N]]="N", "-20", "0")</f>
        <v>0</v>
      </c>
      <c r="W174" s="53">
        <f>Table8[[#This Row],[Total]]+Table8[[#This Row],[Penalty Applied]]</f>
        <v>19</v>
      </c>
      <c r="X174" s="53"/>
    </row>
    <row r="175" spans="5:24" x14ac:dyDescent="0.3">
      <c r="E175" s="97" t="s">
        <v>89</v>
      </c>
      <c r="F175" s="97" t="s">
        <v>29</v>
      </c>
      <c r="G175" s="77"/>
      <c r="H175" s="98"/>
      <c r="I175" s="98">
        <v>15</v>
      </c>
      <c r="J175" s="98"/>
      <c r="K175" s="98"/>
      <c r="L175" s="98"/>
      <c r="M175" s="98"/>
      <c r="N175" s="98"/>
      <c r="O175" s="98"/>
      <c r="P175" s="98"/>
      <c r="Q175" s="98"/>
      <c r="R175" s="97"/>
      <c r="S175" s="76">
        <f>SUM(Table8[[#This Row],[1]:[12]])</f>
        <v>15</v>
      </c>
      <c r="T175" s="76">
        <f>COUNTIF(G175:R175,"&gt;1")</f>
        <v>1</v>
      </c>
      <c r="U175" s="9" t="s">
        <v>220</v>
      </c>
      <c r="V175" s="3" t="str">
        <f>IF(Table8[[#This Row],[Observed? Y or N]]="N", "-20", "0")</f>
        <v>0</v>
      </c>
      <c r="W175" s="3">
        <f>Table8[[#This Row],[Total]]+Table8[[#This Row],[Penalty Applied]]</f>
        <v>15</v>
      </c>
      <c r="X175" s="3"/>
    </row>
    <row r="176" spans="5:24" x14ac:dyDescent="0.3">
      <c r="E176" s="97" t="s">
        <v>168</v>
      </c>
      <c r="F176" s="97" t="s">
        <v>85</v>
      </c>
      <c r="G176" s="77"/>
      <c r="H176" s="98"/>
      <c r="I176" s="98"/>
      <c r="J176" s="98"/>
      <c r="K176" s="98"/>
      <c r="L176" s="98"/>
      <c r="M176" s="98"/>
      <c r="N176" s="98"/>
      <c r="O176" s="98"/>
      <c r="P176" s="98"/>
      <c r="Q176" s="98">
        <v>15</v>
      </c>
      <c r="R176" s="97"/>
      <c r="S176" s="76">
        <f>SUM(Table8[[#This Row],[1]:[12]])</f>
        <v>15</v>
      </c>
      <c r="T176" s="76">
        <f>COUNTIF(G176:R176,"&gt;1")</f>
        <v>1</v>
      </c>
      <c r="U176" s="9" t="s">
        <v>220</v>
      </c>
      <c r="V176" s="122" t="str">
        <f>IF(Table8[[#This Row],[Observed? Y or N]]="N", "-20", "0")</f>
        <v>0</v>
      </c>
      <c r="W176" s="122">
        <f>Table8[[#This Row],[Total]]+Table8[[#This Row],[Penalty Applied]]</f>
        <v>15</v>
      </c>
      <c r="X176" s="53"/>
    </row>
    <row r="177" spans="5:24" x14ac:dyDescent="0.3">
      <c r="E177" s="97" t="s">
        <v>157</v>
      </c>
      <c r="F177" s="97" t="s">
        <v>25</v>
      </c>
      <c r="G177" s="77"/>
      <c r="H177" s="98">
        <v>7</v>
      </c>
      <c r="I177" s="98"/>
      <c r="J177" s="98"/>
      <c r="K177" s="98"/>
      <c r="L177" s="98"/>
      <c r="M177" s="98"/>
      <c r="N177" s="98"/>
      <c r="O177" s="98"/>
      <c r="P177" s="98"/>
      <c r="Q177" s="98">
        <v>7</v>
      </c>
      <c r="R177" s="97"/>
      <c r="S177" s="76">
        <f>SUM(Table8[[#This Row],[1]:[12]])</f>
        <v>14</v>
      </c>
      <c r="T177" s="76">
        <f>COUNTIF(G177:R177,"&gt;1")</f>
        <v>2</v>
      </c>
      <c r="U177" s="9" t="s">
        <v>220</v>
      </c>
      <c r="V177" s="3" t="str">
        <f>IF(Table8[[#This Row],[Observed? Y or N]]="N", "-20", "0")</f>
        <v>0</v>
      </c>
      <c r="W177" s="3">
        <f>Table8[[#This Row],[Total]]+Table8[[#This Row],[Penalty Applied]]</f>
        <v>14</v>
      </c>
      <c r="X177" s="3"/>
    </row>
    <row r="178" spans="5:24" x14ac:dyDescent="0.3">
      <c r="E178" s="39" t="s">
        <v>154</v>
      </c>
      <c r="F178" s="39" t="s">
        <v>25</v>
      </c>
      <c r="G178" s="45"/>
      <c r="H178" s="40">
        <v>11</v>
      </c>
      <c r="I178" s="40">
        <v>11</v>
      </c>
      <c r="J178" s="40"/>
      <c r="K178" s="40">
        <v>11</v>
      </c>
      <c r="L178" s="40"/>
      <c r="M178" s="40"/>
      <c r="N178" s="40"/>
      <c r="O178" s="40"/>
      <c r="P178" s="40"/>
      <c r="Q178" s="40"/>
      <c r="R178" s="39"/>
      <c r="S178" s="41">
        <f>SUM(Table8[[#This Row],[1]:[12]])</f>
        <v>33</v>
      </c>
      <c r="T178" s="41">
        <f>COUNTIF(G178:R178,"&gt;1")</f>
        <v>3</v>
      </c>
      <c r="U178" s="9" t="s">
        <v>63</v>
      </c>
      <c r="V178" s="43" t="str">
        <f>IF(Table8[[#This Row],[Observed? Y or N]]="N", "-20", "0")</f>
        <v>-20</v>
      </c>
      <c r="W178" s="43">
        <f>Table8[[#This Row],[Total]]+Table8[[#This Row],[Penalty Applied]]</f>
        <v>13</v>
      </c>
      <c r="X178" s="3"/>
    </row>
    <row r="179" spans="5:24" x14ac:dyDescent="0.3">
      <c r="E179" s="39" t="s">
        <v>145</v>
      </c>
      <c r="F179" s="39" t="s">
        <v>30</v>
      </c>
      <c r="G179" s="45"/>
      <c r="H179" s="40"/>
      <c r="I179" s="40">
        <v>13</v>
      </c>
      <c r="J179" s="40"/>
      <c r="K179" s="40"/>
      <c r="L179" s="40"/>
      <c r="M179" s="40"/>
      <c r="N179" s="40"/>
      <c r="O179" s="40"/>
      <c r="P179" s="40"/>
      <c r="Q179" s="40">
        <v>11</v>
      </c>
      <c r="R179" s="39"/>
      <c r="S179" s="41">
        <f>SUM(Table8[[#This Row],[1]:[12]])</f>
        <v>24</v>
      </c>
      <c r="T179" s="41">
        <f>COUNTIF(G179:R179,"&gt;1")</f>
        <v>2</v>
      </c>
      <c r="U179" s="9" t="s">
        <v>63</v>
      </c>
      <c r="V179" s="43" t="str">
        <f>IF(Table8[[#This Row],[Observed? Y or N]]="N", "-20", "0")</f>
        <v>-20</v>
      </c>
      <c r="W179" s="43">
        <f>Table8[[#This Row],[Total]]+Table8[[#This Row],[Penalty Applied]]</f>
        <v>4</v>
      </c>
      <c r="X179" s="3"/>
    </row>
    <row r="180" spans="5:24" x14ac:dyDescent="0.3">
      <c r="E180" s="39" t="s">
        <v>169</v>
      </c>
      <c r="F180" s="39" t="s">
        <v>25</v>
      </c>
      <c r="G180" s="45"/>
      <c r="H180" s="40"/>
      <c r="I180" s="40"/>
      <c r="J180" s="40"/>
      <c r="K180" s="40"/>
      <c r="L180" s="40"/>
      <c r="M180" s="40"/>
      <c r="O180" s="40"/>
      <c r="P180" s="40"/>
      <c r="Q180" s="40">
        <v>10</v>
      </c>
      <c r="R180" s="39">
        <v>13</v>
      </c>
      <c r="S180" s="41">
        <f>SUM(Table8[[#This Row],[1]:[12]])</f>
        <v>23</v>
      </c>
      <c r="T180" s="41">
        <f>COUNTIF(G180:R180,"&gt;1")</f>
        <v>2</v>
      </c>
      <c r="U180" s="9" t="s">
        <v>63</v>
      </c>
      <c r="V180" s="43" t="str">
        <f>IF(Table8[[#This Row],[Observed? Y or N]]="N", "-20", "0")</f>
        <v>-20</v>
      </c>
      <c r="W180" s="43">
        <f>Table8[[#This Row],[Total]]+Table8[[#This Row],[Penalty Applied]]</f>
        <v>3</v>
      </c>
      <c r="X180" s="3"/>
    </row>
    <row r="181" spans="5:24" x14ac:dyDescent="0.3">
      <c r="E181" s="39" t="s">
        <v>222</v>
      </c>
      <c r="F181" s="39" t="s">
        <v>29</v>
      </c>
      <c r="G181" s="45"/>
      <c r="H181" s="40"/>
      <c r="I181" s="40"/>
      <c r="J181" s="40"/>
      <c r="K181" s="40"/>
      <c r="L181" s="40"/>
      <c r="M181" s="40"/>
      <c r="N181" s="40">
        <v>20</v>
      </c>
      <c r="O181" s="40"/>
      <c r="P181" s="40"/>
      <c r="Q181" s="40"/>
      <c r="R181" s="39"/>
      <c r="S181" s="41">
        <f>SUM(Table8[[#This Row],[1]:[12]])</f>
        <v>20</v>
      </c>
      <c r="T181" s="41">
        <f>COUNTIF(G181:R181,"&gt;1")</f>
        <v>1</v>
      </c>
      <c r="U181" s="9" t="s">
        <v>63</v>
      </c>
      <c r="V181" s="43" t="str">
        <f>IF(Table8[[#This Row],[Observed? Y or N]]="N", "-20", "0")</f>
        <v>-20</v>
      </c>
      <c r="W181" s="43">
        <f>Table8[[#This Row],[Total]]+Table8[[#This Row],[Penalty Applied]]</f>
        <v>0</v>
      </c>
      <c r="X181" s="3"/>
    </row>
    <row r="182" spans="5:24" x14ac:dyDescent="0.3">
      <c r="E182" s="39" t="s">
        <v>223</v>
      </c>
      <c r="F182" s="39" t="s">
        <v>30</v>
      </c>
      <c r="G182" s="45"/>
      <c r="H182" s="40"/>
      <c r="I182" s="40"/>
      <c r="J182" s="40"/>
      <c r="K182" s="40"/>
      <c r="L182" s="40"/>
      <c r="M182" s="40"/>
      <c r="N182" s="40">
        <v>17</v>
      </c>
      <c r="O182" s="40"/>
      <c r="P182" s="40"/>
      <c r="Q182" s="40"/>
      <c r="R182" s="39"/>
      <c r="S182" s="41">
        <f>SUM(Table8[[#This Row],[1]:[12]])</f>
        <v>17</v>
      </c>
      <c r="T182" s="41">
        <f>COUNTIF(G182:R182,"&gt;1")</f>
        <v>1</v>
      </c>
      <c r="U182" s="9" t="s">
        <v>63</v>
      </c>
      <c r="V182" s="43" t="str">
        <f>IF(Table8[[#This Row],[Observed? Y or N]]="N", "-20", "0")</f>
        <v>-20</v>
      </c>
      <c r="W182" s="43">
        <f>Table8[[#This Row],[Total]]+Table8[[#This Row],[Penalty Applied]]</f>
        <v>-3</v>
      </c>
      <c r="X182" s="3"/>
    </row>
    <row r="183" spans="5:24" x14ac:dyDescent="0.3">
      <c r="E183" s="39" t="s">
        <v>200</v>
      </c>
      <c r="F183" s="39" t="s">
        <v>86</v>
      </c>
      <c r="G183" s="45"/>
      <c r="H183" s="40"/>
      <c r="I183" s="40"/>
      <c r="J183" s="40"/>
      <c r="K183" s="40"/>
      <c r="L183" s="40">
        <v>15</v>
      </c>
      <c r="M183" s="40"/>
      <c r="N183" s="40"/>
      <c r="O183" s="40"/>
      <c r="P183" s="40"/>
      <c r="Q183" s="40"/>
      <c r="R183" s="39"/>
      <c r="S183" s="41">
        <f>SUM(Table8[[#This Row],[1]:[12]])</f>
        <v>15</v>
      </c>
      <c r="T183" s="41">
        <f>COUNTIF(G183:R183,"&gt;1")</f>
        <v>1</v>
      </c>
      <c r="U183" s="9" t="s">
        <v>63</v>
      </c>
      <c r="V183" s="43" t="str">
        <f>IF(Table8[[#This Row],[Observed? Y or N]]="N", "-20", "0")</f>
        <v>-20</v>
      </c>
      <c r="W183" s="43">
        <f>Table8[[#This Row],[Total]]+Table8[[#This Row],[Penalty Applied]]</f>
        <v>-5</v>
      </c>
      <c r="X183" s="3"/>
    </row>
    <row r="184" spans="5:24" x14ac:dyDescent="0.3">
      <c r="E184" s="39" t="s">
        <v>224</v>
      </c>
      <c r="F184" s="39" t="s">
        <v>25</v>
      </c>
      <c r="G184" s="45"/>
      <c r="H184" s="40"/>
      <c r="I184" s="40"/>
      <c r="J184" s="40"/>
      <c r="K184" s="40"/>
      <c r="L184" s="40"/>
      <c r="M184" s="40"/>
      <c r="N184" s="40">
        <v>15</v>
      </c>
      <c r="O184" s="40"/>
      <c r="P184" s="40"/>
      <c r="Q184" s="40"/>
      <c r="R184" s="39"/>
      <c r="S184" s="41">
        <f>SUM(Table8[[#This Row],[1]:[12]])</f>
        <v>15</v>
      </c>
      <c r="T184" s="41">
        <f>COUNTIF(G184:R184,"&gt;1")</f>
        <v>1</v>
      </c>
      <c r="U184" s="9" t="s">
        <v>63</v>
      </c>
      <c r="V184" s="43" t="str">
        <f>IF(Table8[[#This Row],[Observed? Y or N]]="N", "-20", "0")</f>
        <v>-20</v>
      </c>
      <c r="W184" s="43">
        <f>Table8[[#This Row],[Total]]+Table8[[#This Row],[Penalty Applied]]</f>
        <v>-5</v>
      </c>
      <c r="X184" s="3"/>
    </row>
    <row r="185" spans="5:24" x14ac:dyDescent="0.3">
      <c r="E185" s="39" t="s">
        <v>233</v>
      </c>
      <c r="F185" s="39" t="s">
        <v>97</v>
      </c>
      <c r="G185" s="45"/>
      <c r="H185" s="40"/>
      <c r="I185" s="40"/>
      <c r="J185" s="40"/>
      <c r="K185" s="40"/>
      <c r="L185" s="40"/>
      <c r="M185" s="40"/>
      <c r="N185" s="40"/>
      <c r="O185" s="40"/>
      <c r="P185" s="40">
        <v>15</v>
      </c>
      <c r="Q185" s="40"/>
      <c r="R185" s="39"/>
      <c r="S185" s="41">
        <f>SUM(Table8[[#This Row],[1]:[12]])</f>
        <v>15</v>
      </c>
      <c r="T185" s="41">
        <f>COUNTIF(G185:R185,"&gt;1")</f>
        <v>1</v>
      </c>
      <c r="U185" s="9" t="s">
        <v>63</v>
      </c>
      <c r="V185" s="43" t="str">
        <f>IF(Table8[[#This Row],[Observed? Y or N]]="N", "-20", "0")</f>
        <v>-20</v>
      </c>
      <c r="W185" s="43">
        <f>Table8[[#This Row],[Total]]+Table8[[#This Row],[Penalty Applied]]</f>
        <v>-5</v>
      </c>
      <c r="X185" s="3"/>
    </row>
    <row r="186" spans="5:24" x14ac:dyDescent="0.3">
      <c r="E186" s="39" t="s">
        <v>155</v>
      </c>
      <c r="F186" s="39" t="s">
        <v>84</v>
      </c>
      <c r="G186" s="45"/>
      <c r="H186" s="40">
        <v>10</v>
      </c>
      <c r="I186" s="40"/>
      <c r="J186" s="40"/>
      <c r="K186" s="40"/>
      <c r="L186" s="40"/>
      <c r="M186" s="40"/>
      <c r="N186" s="40"/>
      <c r="O186" s="40"/>
      <c r="P186" s="40"/>
      <c r="Q186" s="40"/>
      <c r="R186" s="39"/>
      <c r="S186" s="41">
        <f>SUM(Table8[[#This Row],[1]:[12]])</f>
        <v>10</v>
      </c>
      <c r="T186" s="41">
        <f>COUNTIF(G186:R186,"&gt;1")</f>
        <v>1</v>
      </c>
      <c r="U186" s="9" t="s">
        <v>63</v>
      </c>
      <c r="V186" s="43" t="str">
        <f>IF(Table8[[#This Row],[Observed? Y or N]]="N", "-20", "0")</f>
        <v>-20</v>
      </c>
      <c r="W186" s="43">
        <f>Table8[[#This Row],[Total]]+Table8[[#This Row],[Penalty Applied]]</f>
        <v>-10</v>
      </c>
      <c r="X186" s="3"/>
    </row>
    <row r="187" spans="5:24" x14ac:dyDescent="0.3">
      <c r="E187" s="39" t="s">
        <v>82</v>
      </c>
      <c r="F187" s="39" t="s">
        <v>87</v>
      </c>
      <c r="G187" s="45"/>
      <c r="H187" s="40">
        <v>8</v>
      </c>
      <c r="I187" s="40"/>
      <c r="J187" s="40"/>
      <c r="K187" s="40"/>
      <c r="L187" s="40"/>
      <c r="M187" s="40"/>
      <c r="N187" s="40"/>
      <c r="O187" s="40"/>
      <c r="P187" s="40"/>
      <c r="Q187" s="40"/>
      <c r="R187" s="39"/>
      <c r="S187" s="41">
        <f>SUM(Table8[[#This Row],[1]:[12]])</f>
        <v>8</v>
      </c>
      <c r="T187" s="41">
        <f>COUNTIF(G187:R187,"&gt;1")</f>
        <v>1</v>
      </c>
      <c r="U187" s="9" t="s">
        <v>63</v>
      </c>
      <c r="V187" s="58" t="str">
        <f>IF(Table8[[#This Row],[Observed? Y or N]]="N", "-20", "0")</f>
        <v>-20</v>
      </c>
      <c r="W187" s="58">
        <f>Table8[[#This Row],[Total]]+Table8[[#This Row],[Penalty Applied]]</f>
        <v>-12</v>
      </c>
      <c r="X187" s="53"/>
    </row>
    <row r="188" spans="5:24" x14ac:dyDescent="0.3">
      <c r="E188" s="39"/>
      <c r="F188" s="39"/>
      <c r="G188" s="45"/>
      <c r="H188" s="40"/>
      <c r="I188" s="40"/>
      <c r="J188" s="40"/>
      <c r="K188" s="40"/>
      <c r="L188" s="40"/>
      <c r="M188" s="40"/>
      <c r="O188" s="40"/>
      <c r="P188" s="40"/>
      <c r="Q188" s="40"/>
      <c r="R188" s="39"/>
      <c r="S188" s="41">
        <f>SUM(Table8[[#This Row],[1]:[12]])</f>
        <v>0</v>
      </c>
      <c r="T188" s="41">
        <f>COUNTIF(G188:R188,"&gt;1")</f>
        <v>0</v>
      </c>
      <c r="U188" s="9" t="s">
        <v>63</v>
      </c>
      <c r="V188" s="43" t="str">
        <f>IF(Table8[[#This Row],[Observed? Y or N]]="N", "-20", "0")</f>
        <v>-20</v>
      </c>
      <c r="W188" s="43">
        <f>Table8[[#This Row],[Total]]+Table8[[#This Row],[Penalty Applied]]</f>
        <v>-20</v>
      </c>
      <c r="X188" s="3"/>
    </row>
    <row r="189" spans="5:24" x14ac:dyDescent="0.3">
      <c r="E189" s="39"/>
      <c r="F189" s="39"/>
      <c r="G189" s="45"/>
      <c r="H189" s="40"/>
      <c r="I189" s="40"/>
      <c r="J189" s="40"/>
      <c r="K189" s="40"/>
      <c r="L189" s="40"/>
      <c r="M189" s="40"/>
      <c r="O189" s="40"/>
      <c r="P189" s="40"/>
      <c r="Q189" s="40"/>
      <c r="R189" s="39"/>
      <c r="S189" s="41">
        <f>SUM(Table8[[#This Row],[1]:[12]])</f>
        <v>0</v>
      </c>
      <c r="T189" s="41">
        <f>COUNTIF(G189:R189,"&gt;1")</f>
        <v>0</v>
      </c>
      <c r="U189" s="9" t="s">
        <v>63</v>
      </c>
      <c r="V189" s="43" t="str">
        <f>IF(Table8[[#This Row],[Observed? Y or N]]="N", "-20", "0")</f>
        <v>-20</v>
      </c>
      <c r="W189" s="43">
        <f>Table8[[#This Row],[Total]]+Table8[[#This Row],[Penalty Applied]]</f>
        <v>-20</v>
      </c>
      <c r="X189" s="3"/>
    </row>
    <row r="190" spans="5:24" x14ac:dyDescent="0.3">
      <c r="E190" s="39"/>
      <c r="F190" s="39"/>
      <c r="G190" s="45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39"/>
      <c r="S190" s="41">
        <f>SUM(Table8[[#This Row],[1]:[12]])</f>
        <v>0</v>
      </c>
      <c r="T190" s="41">
        <f>COUNTIF(G190:R190,"&gt;1")</f>
        <v>0</v>
      </c>
      <c r="U190" s="9" t="s">
        <v>63</v>
      </c>
      <c r="V190" s="43" t="str">
        <f>IF(Table8[[#This Row],[Observed? Y or N]]="N", "-20", "0")</f>
        <v>-20</v>
      </c>
      <c r="W190" s="43">
        <f>Table8[[#This Row],[Total]]+Table8[[#This Row],[Penalty Applied]]</f>
        <v>-20</v>
      </c>
      <c r="X190" s="3"/>
    </row>
    <row r="191" spans="5:24" x14ac:dyDescent="0.3">
      <c r="E191" s="39"/>
      <c r="F191" s="39"/>
      <c r="G191" s="45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39"/>
      <c r="S191" s="41">
        <f>SUM(Table8[[#This Row],[1]:[12]])</f>
        <v>0</v>
      </c>
      <c r="T191" s="41">
        <f>COUNTIF(G191:R191,"&gt;1")</f>
        <v>0</v>
      </c>
      <c r="U191" s="9" t="s">
        <v>63</v>
      </c>
      <c r="V191" s="43" t="str">
        <f>IF(Table8[[#This Row],[Observed? Y or N]]="N", "-20", "0")</f>
        <v>-20</v>
      </c>
      <c r="W191" s="43">
        <f>Table8[[#This Row],[Total]]+Table8[[#This Row],[Penalty Applied]]</f>
        <v>-20</v>
      </c>
      <c r="X191" s="3"/>
    </row>
    <row r="192" spans="5:24" x14ac:dyDescent="0.3">
      <c r="E192" s="39"/>
      <c r="F192" s="39"/>
      <c r="G192" s="45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39"/>
      <c r="S192" s="41">
        <f>SUM(Table8[[#This Row],[1]:[12]])</f>
        <v>0</v>
      </c>
      <c r="T192" s="41">
        <f>COUNTIF(G192:R192,"&gt;1")</f>
        <v>0</v>
      </c>
      <c r="U192" s="9" t="s">
        <v>63</v>
      </c>
      <c r="V192" s="43" t="str">
        <f>IF(Table8[[#This Row],[Observed? Y or N]]="N", "-20", "0")</f>
        <v>-20</v>
      </c>
      <c r="W192" s="43">
        <f>Table8[[#This Row],[Total]]+Table8[[#This Row],[Penalty Applied]]</f>
        <v>-20</v>
      </c>
      <c r="X192" s="3"/>
    </row>
    <row r="193" spans="5:24" x14ac:dyDescent="0.3">
      <c r="E193" s="39"/>
      <c r="F193" s="39"/>
      <c r="G193" s="45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39"/>
      <c r="S193" s="41">
        <f>SUM(Table8[[#This Row],[1]:[12]])</f>
        <v>0</v>
      </c>
      <c r="T193" s="41">
        <f>COUNTIF(G193:R193,"&gt;1")</f>
        <v>0</v>
      </c>
      <c r="U193" s="9" t="s">
        <v>63</v>
      </c>
      <c r="V193" s="43" t="str">
        <f>IF(Table8[[#This Row],[Observed? Y or N]]="N", "-20", "0")</f>
        <v>-20</v>
      </c>
      <c r="W193" s="43">
        <f>Table8[[#This Row],[Total]]+Table8[[#This Row],[Penalty Applied]]</f>
        <v>-20</v>
      </c>
      <c r="X193" s="3"/>
    </row>
    <row r="194" spans="5:24" x14ac:dyDescent="0.3">
      <c r="E194" s="39"/>
      <c r="F194" s="39"/>
      <c r="G194" s="45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39"/>
      <c r="S194" s="41">
        <f>SUM(Table8[[#This Row],[1]:[12]])</f>
        <v>0</v>
      </c>
      <c r="T194" s="41">
        <f>COUNTIF(G194:R194,"&gt;1")</f>
        <v>0</v>
      </c>
      <c r="U194" s="9" t="s">
        <v>63</v>
      </c>
      <c r="V194" s="43" t="str">
        <f>IF(Table8[[#This Row],[Observed? Y or N]]="N", "-20", "0")</f>
        <v>-20</v>
      </c>
      <c r="W194" s="43">
        <f>Table8[[#This Row],[Total]]+Table8[[#This Row],[Penalty Applied]]</f>
        <v>-20</v>
      </c>
      <c r="X194" s="3"/>
    </row>
    <row r="196" spans="5:24" ht="15" thickBot="1" x14ac:dyDescent="0.35"/>
    <row r="197" spans="5:24" ht="154.19999999999999" thickBot="1" x14ac:dyDescent="0.35">
      <c r="E197" s="55" t="s">
        <v>46</v>
      </c>
      <c r="F197" s="55" t="s">
        <v>91</v>
      </c>
      <c r="G197" s="56" t="s">
        <v>65</v>
      </c>
      <c r="H197" s="56" t="s">
        <v>66</v>
      </c>
      <c r="I197" s="56" t="s">
        <v>67</v>
      </c>
      <c r="J197" s="56" t="s">
        <v>68</v>
      </c>
      <c r="K197" s="56" t="s">
        <v>69</v>
      </c>
      <c r="L197" s="56" t="s">
        <v>70</v>
      </c>
      <c r="M197" s="56" t="s">
        <v>71</v>
      </c>
      <c r="N197" s="56" t="s">
        <v>72</v>
      </c>
      <c r="O197" s="56" t="s">
        <v>73</v>
      </c>
      <c r="P197" s="56" t="s">
        <v>74</v>
      </c>
      <c r="Q197" s="56" t="s">
        <v>75</v>
      </c>
      <c r="R197" s="56" t="s">
        <v>76</v>
      </c>
      <c r="S197" s="7" t="s">
        <v>31</v>
      </c>
      <c r="T197" s="7" t="s">
        <v>42</v>
      </c>
      <c r="U197" s="54" t="s">
        <v>61</v>
      </c>
      <c r="V197" s="7" t="s">
        <v>64</v>
      </c>
      <c r="W197" s="32" t="s">
        <v>62</v>
      </c>
      <c r="X197" s="32" t="s">
        <v>15</v>
      </c>
    </row>
    <row r="198" spans="5:24" x14ac:dyDescent="0.3">
      <c r="E198" s="78" t="s">
        <v>161</v>
      </c>
      <c r="F198" s="78" t="s">
        <v>25</v>
      </c>
      <c r="G198" s="102"/>
      <c r="H198" s="102">
        <v>20</v>
      </c>
      <c r="I198" s="102"/>
      <c r="J198" s="102"/>
      <c r="K198" s="102"/>
      <c r="L198" s="102"/>
      <c r="M198" s="102">
        <v>20</v>
      </c>
      <c r="N198" s="98">
        <v>17</v>
      </c>
      <c r="O198" s="102"/>
      <c r="P198" s="102"/>
      <c r="Q198" s="102"/>
      <c r="R198" s="103"/>
      <c r="S198" s="79">
        <f>SUM(Table9[[#This Row],[1]:[12]])</f>
        <v>57</v>
      </c>
      <c r="T198" s="78">
        <f>COUNTIF(G198:R198,"&gt;1")</f>
        <v>3</v>
      </c>
      <c r="U198" s="9" t="s">
        <v>220</v>
      </c>
      <c r="V198" s="12" t="str">
        <f>IF(Table9[[#This Row],[Observed? Y or N]]="N", "-20", "0")</f>
        <v>0</v>
      </c>
      <c r="W198">
        <f>Table9[[#This Row],[Total]]+Table9[[#This Row],[Penalty Applied]]</f>
        <v>57</v>
      </c>
      <c r="X198" s="2" t="s">
        <v>0</v>
      </c>
    </row>
    <row r="199" spans="5:24" x14ac:dyDescent="0.3">
      <c r="E199" s="76" t="s">
        <v>163</v>
      </c>
      <c r="F199" s="76" t="s">
        <v>84</v>
      </c>
      <c r="G199" s="98"/>
      <c r="H199" s="98"/>
      <c r="I199" s="98">
        <v>17</v>
      </c>
      <c r="J199" s="98"/>
      <c r="K199" s="98">
        <v>20</v>
      </c>
      <c r="L199" s="98">
        <v>20</v>
      </c>
      <c r="M199" s="98"/>
      <c r="N199" s="98"/>
      <c r="O199" s="98"/>
      <c r="P199" s="98"/>
      <c r="Q199" s="98"/>
      <c r="R199" s="97"/>
      <c r="S199" s="77">
        <f>SUM(Table9[[#This Row],[1]:[12]])</f>
        <v>57</v>
      </c>
      <c r="T199" s="76">
        <f>COUNTIF(G199:R199,"&gt;1")</f>
        <v>3</v>
      </c>
      <c r="U199" s="97" t="s">
        <v>220</v>
      </c>
      <c r="V199" s="124" t="str">
        <f>IF(Table9[[#This Row],[Observed? Y or N]]="N", "-20", "0")</f>
        <v>0</v>
      </c>
      <c r="W199" s="125">
        <f>Table9[[#This Row],[Total]]+Table9[[#This Row],[Penalty Applied]]</f>
        <v>57</v>
      </c>
      <c r="X199" s="3" t="s">
        <v>0</v>
      </c>
    </row>
    <row r="200" spans="5:24" x14ac:dyDescent="0.3">
      <c r="E200" s="76" t="s">
        <v>216</v>
      </c>
      <c r="F200" s="76" t="s">
        <v>29</v>
      </c>
      <c r="G200" s="98"/>
      <c r="H200" s="98"/>
      <c r="I200" s="98"/>
      <c r="J200" s="98"/>
      <c r="K200" s="98"/>
      <c r="L200" s="98"/>
      <c r="M200" s="98">
        <v>17</v>
      </c>
      <c r="N200" s="98">
        <v>20</v>
      </c>
      <c r="O200" s="98"/>
      <c r="P200" s="98"/>
      <c r="Q200" s="98"/>
      <c r="R200" s="97"/>
      <c r="S200" s="45">
        <f>SUM(Table9[[#This Row],[1]:[12]])</f>
        <v>37</v>
      </c>
      <c r="T200" s="41">
        <f>COUNTIF(G200:R200,"&gt;1")</f>
        <v>2</v>
      </c>
      <c r="U200" s="9" t="s">
        <v>220</v>
      </c>
      <c r="V200" s="9" t="str">
        <f>IF(Table9[[#This Row],[Observed? Y or N]]="N", "-20", "0")</f>
        <v>0</v>
      </c>
      <c r="W200">
        <f>Table9[[#This Row],[Total]]+Table9[[#This Row],[Penalty Applied]]</f>
        <v>37</v>
      </c>
      <c r="X200" s="3" t="s">
        <v>2</v>
      </c>
    </row>
    <row r="201" spans="5:24" x14ac:dyDescent="0.3">
      <c r="E201" s="41" t="s">
        <v>162</v>
      </c>
      <c r="F201" s="41" t="s">
        <v>26</v>
      </c>
      <c r="G201" s="40"/>
      <c r="H201" s="40"/>
      <c r="I201" s="40">
        <v>20</v>
      </c>
      <c r="J201" s="40"/>
      <c r="K201" s="40"/>
      <c r="L201" s="40"/>
      <c r="M201" s="40"/>
      <c r="N201" s="40"/>
      <c r="O201" s="40"/>
      <c r="P201" s="40"/>
      <c r="Q201" s="40">
        <v>20</v>
      </c>
      <c r="R201" s="39"/>
      <c r="S201" s="77">
        <f>SUM(Table9[[#This Row],[1]:[12]])</f>
        <v>40</v>
      </c>
      <c r="T201" s="76">
        <f>COUNTIF(G201:R201,"&gt;1")</f>
        <v>2</v>
      </c>
      <c r="U201" s="9" t="s">
        <v>63</v>
      </c>
      <c r="V201" s="49" t="str">
        <f>IF(Table9[[#This Row],[Observed? Y or N]]="N", "-20", "0")</f>
        <v>-20</v>
      </c>
      <c r="W201" s="38">
        <f>Table9[[#This Row],[Total]]+Table9[[#This Row],[Penalty Applied]]</f>
        <v>20</v>
      </c>
      <c r="X201" s="3"/>
    </row>
    <row r="202" spans="5:24" x14ac:dyDescent="0.3">
      <c r="E202" s="76" t="s">
        <v>245</v>
      </c>
      <c r="F202" s="76" t="s">
        <v>30</v>
      </c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>
        <v>17</v>
      </c>
      <c r="R202" s="97"/>
      <c r="S202" s="77">
        <f>SUM(Table9[[#This Row],[1]:[12]])</f>
        <v>17</v>
      </c>
      <c r="T202" s="76">
        <f>COUNTIF(G202:R202,"&gt;1")</f>
        <v>1</v>
      </c>
      <c r="U202" s="9" t="s">
        <v>220</v>
      </c>
      <c r="V202" s="119" t="str">
        <f>IF(Table9[[#This Row],[Observed? Y or N]]="N", "-20", "0")</f>
        <v>0</v>
      </c>
      <c r="W202" s="120">
        <f>Table9[[#This Row],[Total]]+Table9[[#This Row],[Penalty Applied]]</f>
        <v>17</v>
      </c>
      <c r="X202" s="3"/>
    </row>
    <row r="203" spans="5:24" x14ac:dyDescent="0.3">
      <c r="E203" s="41" t="s">
        <v>196</v>
      </c>
      <c r="F203" s="41" t="s">
        <v>84</v>
      </c>
      <c r="G203" s="40"/>
      <c r="H203" s="40"/>
      <c r="I203" s="40"/>
      <c r="J203" s="40"/>
      <c r="K203" s="40">
        <v>17</v>
      </c>
      <c r="L203" s="40"/>
      <c r="M203" s="40"/>
      <c r="N203" s="40"/>
      <c r="O203" s="40"/>
      <c r="P203" s="40"/>
      <c r="Q203" s="40"/>
      <c r="R203" s="39"/>
      <c r="S203" s="77">
        <f>SUM(Table9[[#This Row],[1]:[12]])</f>
        <v>17</v>
      </c>
      <c r="T203" s="76">
        <f>COUNTIF(G203:R203,"&gt;1")</f>
        <v>1</v>
      </c>
      <c r="U203" s="9" t="s">
        <v>63</v>
      </c>
      <c r="V203" s="49" t="str">
        <f>IF(Table9[[#This Row],[Observed? Y or N]]="N", "-20", "0")</f>
        <v>-20</v>
      </c>
      <c r="W203" s="38">
        <f>Table9[[#This Row],[Total]]+Table9[[#This Row],[Penalty Applied]]</f>
        <v>-3</v>
      </c>
      <c r="X203" s="3"/>
    </row>
    <row r="204" spans="5:24" x14ac:dyDescent="0.3">
      <c r="E204" s="41" t="s">
        <v>164</v>
      </c>
      <c r="F204" s="41" t="s">
        <v>84</v>
      </c>
      <c r="G204" s="40"/>
      <c r="H204" s="40"/>
      <c r="I204" s="40">
        <v>15</v>
      </c>
      <c r="J204" s="40"/>
      <c r="K204" s="40"/>
      <c r="L204" s="40"/>
      <c r="M204" s="40"/>
      <c r="N204" s="40"/>
      <c r="O204" s="40"/>
      <c r="P204" s="40"/>
      <c r="Q204" s="40"/>
      <c r="R204" s="39"/>
      <c r="S204" s="77">
        <f>SUM(Table9[[#This Row],[1]:[12]])</f>
        <v>15</v>
      </c>
      <c r="T204" s="76">
        <f>COUNTIF(G204:R204,"&gt;1")</f>
        <v>1</v>
      </c>
      <c r="U204" s="9" t="s">
        <v>63</v>
      </c>
      <c r="V204" s="49" t="str">
        <f>IF(Table9[[#This Row],[Observed? Y or N]]="N", "-20", "0")</f>
        <v>-20</v>
      </c>
      <c r="W204" s="38">
        <f>Table9[[#This Row],[Total]]+Table9[[#This Row],[Penalty Applied]]</f>
        <v>-5</v>
      </c>
      <c r="X204" s="3"/>
    </row>
    <row r="205" spans="5:24" x14ac:dyDescent="0.3">
      <c r="E205" s="41" t="s">
        <v>217</v>
      </c>
      <c r="F205" s="41" t="s">
        <v>25</v>
      </c>
      <c r="G205" s="40"/>
      <c r="H205" s="40"/>
      <c r="I205" s="40"/>
      <c r="J205" s="40"/>
      <c r="K205" s="40"/>
      <c r="L205" s="40"/>
      <c r="M205" s="40">
        <v>15</v>
      </c>
      <c r="N205" s="40"/>
      <c r="O205" s="40"/>
      <c r="P205" s="40"/>
      <c r="Q205" s="40"/>
      <c r="R205" s="39"/>
      <c r="S205" s="45">
        <f>SUM(Table9[[#This Row],[1]:[12]])</f>
        <v>15</v>
      </c>
      <c r="T205" s="41">
        <f>COUNTIF(G205:R205,"&gt;1")</f>
        <v>1</v>
      </c>
      <c r="U205" s="9" t="s">
        <v>63</v>
      </c>
      <c r="V205" s="49" t="str">
        <f>IF(Table9[[#This Row],[Observed? Y or N]]="N", "-20", "0")</f>
        <v>-20</v>
      </c>
      <c r="W205" s="38">
        <f>Table9[[#This Row],[Total]]+Table9[[#This Row],[Penalty Applied]]</f>
        <v>-5</v>
      </c>
      <c r="X205" s="3"/>
    </row>
    <row r="206" spans="5:24" x14ac:dyDescent="0.3">
      <c r="E206" s="41" t="s">
        <v>246</v>
      </c>
      <c r="F206" s="41" t="s">
        <v>29</v>
      </c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>
        <v>15</v>
      </c>
      <c r="R206" s="39"/>
      <c r="S206" s="45">
        <f>SUM(G206:R206)</f>
        <v>15</v>
      </c>
      <c r="T206" s="41">
        <f>COUNTIF(G206:R206,"&gt;1")</f>
        <v>1</v>
      </c>
      <c r="U206" s="9" t="s">
        <v>63</v>
      </c>
      <c r="V206" s="49" t="str">
        <f>IF(Table9[[#This Row],[Observed? Y or N]]="N", "-20", "0")</f>
        <v>-20</v>
      </c>
      <c r="W206" s="38">
        <f>Table9[[#This Row],[Total]]+Table9[[#This Row],[Penalty Applied]]</f>
        <v>-5</v>
      </c>
      <c r="X206" s="3"/>
    </row>
    <row r="207" spans="5:24" x14ac:dyDescent="0.3">
      <c r="E207" s="41" t="s">
        <v>247</v>
      </c>
      <c r="F207" s="41" t="s">
        <v>29</v>
      </c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>
        <v>13</v>
      </c>
      <c r="R207" s="39"/>
      <c r="S207" s="45">
        <f>SUM(Table9[[#This Row],[1]:[12]])</f>
        <v>13</v>
      </c>
      <c r="T207" s="41">
        <f>COUNTIF(G207:R207,"&gt;1")</f>
        <v>1</v>
      </c>
      <c r="U207" s="9" t="s">
        <v>63</v>
      </c>
      <c r="V207" s="49" t="str">
        <f>IF(Table9[[#This Row],[Observed? Y or N]]="N", "-20", "0")</f>
        <v>-20</v>
      </c>
      <c r="W207" s="38">
        <f>Table9[[#This Row],[Total]]+Table9[[#This Row],[Penalty Applied]]</f>
        <v>-7</v>
      </c>
      <c r="X207" s="3"/>
    </row>
    <row r="208" spans="5:24" x14ac:dyDescent="0.3">
      <c r="E208" s="41" t="s">
        <v>248</v>
      </c>
      <c r="F208" s="41" t="s">
        <v>25</v>
      </c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>
        <v>11</v>
      </c>
      <c r="R208" s="39"/>
      <c r="S208" s="45">
        <f>SUM(G208:R208)</f>
        <v>11</v>
      </c>
      <c r="T208" s="41">
        <f>COUNTIF(G208:R208,"&gt;1")</f>
        <v>1</v>
      </c>
      <c r="U208" s="9" t="s">
        <v>63</v>
      </c>
      <c r="V208" s="49" t="str">
        <f>IF(Table9[[#This Row],[Observed? Y or N]]="N", "-20", "0")</f>
        <v>-20</v>
      </c>
      <c r="W208" s="38">
        <f>Table9[[#This Row],[Total]]+Table9[[#This Row],[Penalty Applied]]</f>
        <v>-9</v>
      </c>
      <c r="X208" s="3"/>
    </row>
    <row r="209" spans="5:24" x14ac:dyDescent="0.3">
      <c r="E209" s="41" t="s">
        <v>249</v>
      </c>
      <c r="F209" s="41" t="s">
        <v>29</v>
      </c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>
        <v>10</v>
      </c>
      <c r="R209" s="39"/>
      <c r="S209" s="45">
        <f>SUM(Table9[[#This Row],[1]:[12]])</f>
        <v>10</v>
      </c>
      <c r="T209" s="41">
        <f>COUNTIF(G209:R209,"&gt;1")</f>
        <v>1</v>
      </c>
      <c r="U209" s="9" t="s">
        <v>63</v>
      </c>
      <c r="V209" s="49" t="str">
        <f>IF(Table9[[#This Row],[Observed? Y or N]]="N", "-20", "0")</f>
        <v>-20</v>
      </c>
      <c r="W209" s="38">
        <f>Table9[[#This Row],[Total]]+Table9[[#This Row],[Penalty Applied]]</f>
        <v>-10</v>
      </c>
      <c r="X209" s="3"/>
    </row>
    <row r="210" spans="5:24" x14ac:dyDescent="0.3">
      <c r="E210" s="41"/>
      <c r="F210" s="41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39"/>
      <c r="S210" s="45">
        <f>SUM(G210:R210)</f>
        <v>0</v>
      </c>
      <c r="T210" s="41">
        <f>COUNTIF(G210:R210,"&gt;1")</f>
        <v>0</v>
      </c>
      <c r="U210" s="9" t="s">
        <v>63</v>
      </c>
      <c r="V210" s="49" t="str">
        <f>IF(Table9[[#This Row],[Observed? Y or N]]="N", "-20", "0")</f>
        <v>-20</v>
      </c>
      <c r="W210" s="38">
        <f>Table9[[#This Row],[Total]]+Table9[[#This Row],[Penalty Applied]]</f>
        <v>-20</v>
      </c>
      <c r="X210" s="3"/>
    </row>
    <row r="211" spans="5:24" x14ac:dyDescent="0.3">
      <c r="E211" s="41"/>
      <c r="F211" s="41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39"/>
      <c r="S211" s="45">
        <f>SUM(Table9[[#This Row],[1]:[12]])</f>
        <v>0</v>
      </c>
      <c r="T211" s="41">
        <f>COUNTIF(G211:R211,"&gt;1")</f>
        <v>0</v>
      </c>
      <c r="U211" s="9" t="s">
        <v>63</v>
      </c>
      <c r="V211" s="49" t="str">
        <f>IF(Table9[[#This Row],[Observed? Y or N]]="N", "-20", "0")</f>
        <v>-20</v>
      </c>
      <c r="W211" s="38">
        <f>Table9[[#This Row],[Total]]+Table9[[#This Row],[Penalty Applied]]</f>
        <v>-20</v>
      </c>
      <c r="X211" s="3"/>
    </row>
    <row r="212" spans="5:24" x14ac:dyDescent="0.3">
      <c r="E212" s="41"/>
      <c r="F212" s="41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39"/>
      <c r="S212" s="45">
        <f>SUM(Table9[[#This Row],[1]:[12]])</f>
        <v>0</v>
      </c>
      <c r="T212" s="41">
        <f>COUNTIF(G212:R212,"&gt;1")</f>
        <v>0</v>
      </c>
      <c r="U212" s="9" t="s">
        <v>63</v>
      </c>
      <c r="V212" s="49" t="str">
        <f>IF(Table9[[#This Row],[Observed? Y or N]]="N", "-20", "0")</f>
        <v>-20</v>
      </c>
      <c r="W212" s="38">
        <f>Table9[[#This Row],[Total]]+Table9[[#This Row],[Penalty Applied]]</f>
        <v>-20</v>
      </c>
      <c r="X212" s="3"/>
    </row>
    <row r="213" spans="5:24" x14ac:dyDescent="0.3">
      <c r="E213" s="41"/>
      <c r="F213" s="41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39"/>
      <c r="S213" s="45">
        <f>SUM(Table9[[#This Row],[1]:[12]])</f>
        <v>0</v>
      </c>
      <c r="T213" s="41">
        <f>COUNTIF(G213:R213,"&gt;1")</f>
        <v>0</v>
      </c>
      <c r="U213" s="9" t="s">
        <v>63</v>
      </c>
      <c r="V213" s="49" t="str">
        <f>IF(Table9[[#This Row],[Observed? Y or N]]="N", "-20", "0")</f>
        <v>-20</v>
      </c>
      <c r="W213" s="38">
        <f>Table9[[#This Row],[Total]]+Table9[[#This Row],[Penalty Applied]]</f>
        <v>-20</v>
      </c>
      <c r="X213" s="3"/>
    </row>
    <row r="214" spans="5:24" ht="15" thickBot="1" x14ac:dyDescent="0.35">
      <c r="E214" s="46"/>
      <c r="F214" s="46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8"/>
      <c r="S214" s="62">
        <f>SUM(Table9[[#This Row],[1]:[12]])</f>
        <v>0</v>
      </c>
      <c r="T214" s="46">
        <f>COUNTIF(G214:R214,"&gt;1")</f>
        <v>0</v>
      </c>
      <c r="U214" s="9" t="s">
        <v>63</v>
      </c>
      <c r="V214" s="49" t="str">
        <f>IF(Table9[[#This Row],[Observed? Y or N]]="N", "-20", "0")</f>
        <v>-20</v>
      </c>
      <c r="W214" s="38">
        <f>Table9[[#This Row],[Total]]+Table9[[#This Row],[Penalty Applied]]</f>
        <v>-20</v>
      </c>
      <c r="X214" s="4"/>
    </row>
    <row r="217" spans="5:24" ht="15" thickBot="1" x14ac:dyDescent="0.35"/>
    <row r="218" spans="5:24" ht="154.19999999999999" thickBot="1" x14ac:dyDescent="0.35">
      <c r="E218" s="36" t="s">
        <v>38</v>
      </c>
      <c r="F218" s="36" t="s">
        <v>91</v>
      </c>
      <c r="G218" s="37" t="s">
        <v>65</v>
      </c>
      <c r="H218" s="37" t="s">
        <v>66</v>
      </c>
      <c r="I218" s="37" t="s">
        <v>67</v>
      </c>
      <c r="J218" s="37" t="s">
        <v>68</v>
      </c>
      <c r="K218" s="37" t="s">
        <v>69</v>
      </c>
      <c r="L218" s="37" t="s">
        <v>70</v>
      </c>
      <c r="M218" s="37" t="s">
        <v>71</v>
      </c>
      <c r="N218" s="37" t="s">
        <v>72</v>
      </c>
      <c r="O218" s="37" t="s">
        <v>73</v>
      </c>
      <c r="P218" s="37" t="s">
        <v>74</v>
      </c>
      <c r="Q218" s="37" t="s">
        <v>75</v>
      </c>
      <c r="R218" s="37" t="s">
        <v>76</v>
      </c>
      <c r="S218" s="7" t="s">
        <v>31</v>
      </c>
      <c r="T218" s="7" t="s">
        <v>42</v>
      </c>
      <c r="U218" s="32" t="s">
        <v>62</v>
      </c>
      <c r="V218" s="32" t="s">
        <v>15</v>
      </c>
    </row>
    <row r="219" spans="5:24" x14ac:dyDescent="0.3">
      <c r="E219" s="3" t="s">
        <v>132</v>
      </c>
      <c r="F219" s="9" t="s">
        <v>97</v>
      </c>
      <c r="G219" s="10"/>
      <c r="H219">
        <v>20</v>
      </c>
      <c r="J219">
        <v>20</v>
      </c>
      <c r="R219" s="9"/>
      <c r="S219" s="2">
        <f>SUM(Table10[[#This Row],[1]:[12]])</f>
        <v>40</v>
      </c>
      <c r="T219" s="2">
        <f>COUNTIF(G219:R219,"&gt;1")</f>
        <v>2</v>
      </c>
      <c r="U219">
        <f>Table10[[#This Row],[Total]]</f>
        <v>40</v>
      </c>
      <c r="V219" s="2" t="s">
        <v>0</v>
      </c>
    </row>
    <row r="220" spans="5:24" x14ac:dyDescent="0.3">
      <c r="E220" s="3" t="s">
        <v>122</v>
      </c>
      <c r="F220" s="9" t="s">
        <v>97</v>
      </c>
      <c r="G220" s="10"/>
      <c r="N220">
        <v>20</v>
      </c>
      <c r="P220">
        <v>20</v>
      </c>
      <c r="R220" s="9"/>
      <c r="S220" s="3">
        <f>SUM(Table10[[#This Row],[1]:[12]])</f>
        <v>40</v>
      </c>
      <c r="T220" s="3">
        <f>COUNTIF(G220:R220,"&gt;1")</f>
        <v>2</v>
      </c>
      <c r="U220">
        <f>Table10[[#This Row],[Total]]</f>
        <v>40</v>
      </c>
      <c r="V220" s="3" t="s">
        <v>0</v>
      </c>
    </row>
    <row r="221" spans="5:24" x14ac:dyDescent="0.3">
      <c r="E221" s="3" t="s">
        <v>133</v>
      </c>
      <c r="F221" s="9"/>
      <c r="G221" s="10"/>
      <c r="H221">
        <v>17</v>
      </c>
      <c r="Q221">
        <v>20</v>
      </c>
      <c r="R221" s="9"/>
      <c r="S221" s="3">
        <f>SUM(Table10[[#This Row],[1]:[12]])</f>
        <v>37</v>
      </c>
      <c r="T221" s="3">
        <f>COUNTIF(G221:R221,"&gt;1")</f>
        <v>2</v>
      </c>
      <c r="U221">
        <f>Table10[[#This Row],[Total]]</f>
        <v>37</v>
      </c>
      <c r="V221" s="3" t="s">
        <v>2</v>
      </c>
    </row>
    <row r="222" spans="5:24" x14ac:dyDescent="0.3">
      <c r="E222" s="3" t="s">
        <v>203</v>
      </c>
      <c r="F222" s="9"/>
      <c r="G222" s="10"/>
      <c r="L222">
        <v>20</v>
      </c>
      <c r="R222" s="9"/>
      <c r="S222" s="3">
        <f>SUM(Table10[[#This Row],[1]:[12]])</f>
        <v>20</v>
      </c>
      <c r="T222" s="3">
        <f>COUNTIF(G222:R222,"&gt;1")</f>
        <v>1</v>
      </c>
      <c r="U222">
        <f>Table10[[#This Row],[Total]]</f>
        <v>20</v>
      </c>
      <c r="V222" s="3"/>
    </row>
    <row r="223" spans="5:24" x14ac:dyDescent="0.3">
      <c r="E223" s="3" t="s">
        <v>204</v>
      </c>
      <c r="F223" s="9"/>
      <c r="G223" s="10"/>
      <c r="L223">
        <v>17</v>
      </c>
      <c r="R223" s="9"/>
      <c r="S223" s="3">
        <f>SUM(Table10[[#This Row],[1]:[12]])</f>
        <v>17</v>
      </c>
      <c r="T223" s="3">
        <f>COUNTIF(G223:R223,"&gt;1")</f>
        <v>1</v>
      </c>
      <c r="U223">
        <f>Table10[[#This Row],[Total]]</f>
        <v>17</v>
      </c>
      <c r="V223" s="3"/>
    </row>
    <row r="224" spans="5:24" x14ac:dyDescent="0.3">
      <c r="E224" s="3" t="s">
        <v>234</v>
      </c>
      <c r="F224" s="9" t="s">
        <v>97</v>
      </c>
      <c r="G224" s="10"/>
      <c r="P224">
        <v>17</v>
      </c>
      <c r="R224" s="9"/>
      <c r="S224" s="3">
        <f>SUM(Table10[[#This Row],[1]:[12]])</f>
        <v>17</v>
      </c>
      <c r="T224" s="3">
        <f>COUNTIF(G224:R224,"&gt;1")</f>
        <v>1</v>
      </c>
      <c r="U224">
        <f>Table10[[#This Row],[Total]]</f>
        <v>17</v>
      </c>
      <c r="V224" s="3"/>
    </row>
    <row r="225" spans="5:22" x14ac:dyDescent="0.3">
      <c r="E225" s="3" t="s">
        <v>251</v>
      </c>
      <c r="F225" s="9" t="s">
        <v>97</v>
      </c>
      <c r="G225" s="10"/>
      <c r="Q225">
        <v>17</v>
      </c>
      <c r="R225" s="9"/>
      <c r="S225" s="3">
        <f>SUM(Table10[[#This Row],[1]:[12]])</f>
        <v>17</v>
      </c>
      <c r="T225" s="3">
        <f>COUNTIF(G225:R225,"&gt;1")</f>
        <v>1</v>
      </c>
      <c r="U225">
        <f>Table10[[#This Row],[Total]]</f>
        <v>17</v>
      </c>
      <c r="V225" s="3"/>
    </row>
    <row r="226" spans="5:22" ht="15" thickBot="1" x14ac:dyDescent="0.35">
      <c r="E226" s="3" t="s">
        <v>205</v>
      </c>
      <c r="F226" s="9"/>
      <c r="G226" s="10"/>
      <c r="L226">
        <v>15</v>
      </c>
      <c r="R226" s="9"/>
      <c r="S226" s="3">
        <f>SUM(Table10[[#This Row],[1]:[12]])</f>
        <v>15</v>
      </c>
      <c r="T226" s="3">
        <f>COUNTIF(G226:R226,"&gt;1")</f>
        <v>1</v>
      </c>
      <c r="U226">
        <f>Table10[[#This Row],[Total]]</f>
        <v>15</v>
      </c>
      <c r="V226" s="4"/>
    </row>
    <row r="227" spans="5:22" ht="15" thickBot="1" x14ac:dyDescent="0.35"/>
    <row r="228" spans="5:22" ht="154.19999999999999" thickBot="1" x14ac:dyDescent="0.35">
      <c r="E228" s="67" t="s">
        <v>50</v>
      </c>
      <c r="F228" s="67" t="s">
        <v>91</v>
      </c>
      <c r="G228" s="68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7"/>
      <c r="S228" s="70" t="s">
        <v>31</v>
      </c>
      <c r="T228" s="70" t="s">
        <v>42</v>
      </c>
      <c r="U228" s="66" t="s">
        <v>62</v>
      </c>
      <c r="V228" s="66" t="s">
        <v>15</v>
      </c>
    </row>
    <row r="229" spans="5:22" ht="15" thickBot="1" x14ac:dyDescent="0.35">
      <c r="E229" s="2" t="s">
        <v>206</v>
      </c>
      <c r="F229" s="12" t="s">
        <v>97</v>
      </c>
      <c r="G229" s="13"/>
      <c r="H229" s="71"/>
      <c r="I229" s="71"/>
      <c r="J229" s="71"/>
      <c r="K229" s="71"/>
      <c r="L229" s="71">
        <v>20</v>
      </c>
      <c r="M229" s="71">
        <v>20</v>
      </c>
      <c r="N229" s="71"/>
      <c r="O229" s="71"/>
      <c r="P229" s="71"/>
      <c r="Q229" s="71">
        <v>20</v>
      </c>
      <c r="R229" s="12">
        <v>20</v>
      </c>
      <c r="S229" s="2">
        <f>SUM(Table103[[#This Row],[Column2]:[Column13]])</f>
        <v>80</v>
      </c>
      <c r="T229" s="2">
        <f>COUNTIF(G229:R229,"&gt;1")</f>
        <v>4</v>
      </c>
      <c r="U229" s="71">
        <f>Table103[[#This Row],[Column14]]</f>
        <v>80</v>
      </c>
      <c r="V229" s="2" t="s">
        <v>0</v>
      </c>
    </row>
    <row r="230" spans="5:22" ht="15" thickBot="1" x14ac:dyDescent="0.35">
      <c r="E230" s="3" t="s">
        <v>122</v>
      </c>
      <c r="F230" s="9" t="s">
        <v>97</v>
      </c>
      <c r="G230" s="10">
        <v>20</v>
      </c>
      <c r="H230" s="115">
        <v>20</v>
      </c>
      <c r="I230" s="115">
        <v>20</v>
      </c>
      <c r="J230" s="115"/>
      <c r="K230" s="115"/>
      <c r="L230" s="115"/>
      <c r="M230" s="115"/>
      <c r="N230" s="115"/>
      <c r="O230" s="115"/>
      <c r="P230" s="115"/>
      <c r="Q230" s="115"/>
      <c r="R230" s="9"/>
      <c r="S230" s="3">
        <f>SUM(Table103[[#This Row],[Column2]:[Column13]])</f>
        <v>60</v>
      </c>
      <c r="T230" s="3">
        <f>COUNTIF(G230:R230,"&gt;1")</f>
        <v>3</v>
      </c>
      <c r="U230" s="71">
        <f>Table103[[#This Row],[Column14]]</f>
        <v>60</v>
      </c>
      <c r="V230" s="3" t="s">
        <v>1</v>
      </c>
    </row>
    <row r="231" spans="5:22" ht="15" thickBot="1" x14ac:dyDescent="0.35">
      <c r="E231" s="3" t="s">
        <v>182</v>
      </c>
      <c r="F231" s="9" t="s">
        <v>97</v>
      </c>
      <c r="G231" s="10"/>
      <c r="M231">
        <v>17</v>
      </c>
      <c r="R231" s="9"/>
      <c r="S231" s="3">
        <f>SUM(Table103[[#This Row],[Column2]:[Column13]])</f>
        <v>17</v>
      </c>
      <c r="T231" s="3">
        <f>COUNTIF(G231:R231,"&gt;1")</f>
        <v>1</v>
      </c>
      <c r="U231" s="71">
        <f>Table103[[#This Row],[Column14]]</f>
        <v>17</v>
      </c>
      <c r="V231" s="3" t="s">
        <v>2</v>
      </c>
    </row>
    <row r="232" spans="5:22" ht="15" thickBot="1" x14ac:dyDescent="0.35">
      <c r="E232" s="4"/>
      <c r="F232" s="11"/>
      <c r="G232" s="5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11"/>
      <c r="S232" s="4">
        <f>SUM(Table103[[#This Row],[Column2]:[Column13]])</f>
        <v>0</v>
      </c>
      <c r="T232" s="4">
        <f>COUNTIF(G232:R232,"&gt;1")</f>
        <v>0</v>
      </c>
      <c r="U232" s="71">
        <f>Table103[[#This Row],[Column14]]</f>
        <v>0</v>
      </c>
      <c r="V232" s="4"/>
    </row>
    <row r="234" spans="5:22" ht="15" thickBot="1" x14ac:dyDescent="0.35"/>
    <row r="235" spans="5:22" ht="154.19999999999999" thickBot="1" x14ac:dyDescent="0.35">
      <c r="E235" s="36" t="s">
        <v>45</v>
      </c>
      <c r="F235" s="36" t="s">
        <v>91</v>
      </c>
      <c r="G235" s="35" t="s">
        <v>65</v>
      </c>
      <c r="H235" s="35" t="s">
        <v>66</v>
      </c>
      <c r="I235" s="35" t="s">
        <v>67</v>
      </c>
      <c r="J235" s="35" t="s">
        <v>68</v>
      </c>
      <c r="K235" s="35" t="s">
        <v>69</v>
      </c>
      <c r="L235" s="35" t="s">
        <v>70</v>
      </c>
      <c r="M235" s="35" t="s">
        <v>71</v>
      </c>
      <c r="N235" s="35" t="s">
        <v>72</v>
      </c>
      <c r="O235" s="35" t="s">
        <v>73</v>
      </c>
      <c r="P235" s="35" t="s">
        <v>74</v>
      </c>
      <c r="Q235" s="35" t="s">
        <v>75</v>
      </c>
      <c r="R235" s="35" t="s">
        <v>76</v>
      </c>
      <c r="S235" s="7" t="s">
        <v>31</v>
      </c>
      <c r="T235" s="7" t="s">
        <v>42</v>
      </c>
      <c r="U235" s="32" t="s">
        <v>62</v>
      </c>
      <c r="V235" s="32" t="s">
        <v>15</v>
      </c>
    </row>
    <row r="236" spans="5:22" ht="15" thickBot="1" x14ac:dyDescent="0.35">
      <c r="E236" s="9" t="s">
        <v>102</v>
      </c>
      <c r="F236" s="9" t="s">
        <v>97</v>
      </c>
      <c r="G236">
        <v>20</v>
      </c>
      <c r="H236">
        <v>20</v>
      </c>
      <c r="I236">
        <v>20</v>
      </c>
      <c r="M236">
        <v>20</v>
      </c>
      <c r="N236">
        <v>20</v>
      </c>
      <c r="O236">
        <v>20</v>
      </c>
      <c r="Q236">
        <v>20</v>
      </c>
      <c r="S236" s="13">
        <f>SUM(Table11[[#This Row],[1]:[12]])</f>
        <v>140</v>
      </c>
      <c r="T236" s="2">
        <f>COUNTIF(G236:R236,"&gt;1")</f>
        <v>7</v>
      </c>
      <c r="U236">
        <f>Table11[[#This Row],[Total]]</f>
        <v>140</v>
      </c>
      <c r="V236" s="2" t="s">
        <v>0</v>
      </c>
    </row>
    <row r="237" spans="5:22" ht="15" thickBot="1" x14ac:dyDescent="0.35">
      <c r="E237" s="9" t="s">
        <v>103</v>
      </c>
      <c r="F237" s="9" t="s">
        <v>97</v>
      </c>
      <c r="J237">
        <v>20</v>
      </c>
      <c r="K237">
        <v>20</v>
      </c>
      <c r="N237">
        <v>17</v>
      </c>
      <c r="S237" s="13">
        <f>SUM(Table11[[#This Row],[1]:[12]])</f>
        <v>57</v>
      </c>
      <c r="T237" s="3">
        <f>COUNTIF(G237:R237,"&gt;1")</f>
        <v>3</v>
      </c>
      <c r="U237">
        <f>Table11[[#This Row],[Total]]</f>
        <v>57</v>
      </c>
      <c r="V237" s="3" t="s">
        <v>1</v>
      </c>
    </row>
    <row r="238" spans="5:22" ht="15" thickBot="1" x14ac:dyDescent="0.35">
      <c r="E238" s="9" t="s">
        <v>250</v>
      </c>
      <c r="F238" s="9" t="s">
        <v>97</v>
      </c>
      <c r="Q238">
        <v>17</v>
      </c>
      <c r="S238" s="13">
        <f>SUM(Table11[[#This Row],[1]:[12]])</f>
        <v>17</v>
      </c>
      <c r="T238" s="3">
        <f>COUNTIF(G238:R238,"&gt;1")</f>
        <v>1</v>
      </c>
      <c r="U238">
        <f>Table11[[#This Row],[Total]]</f>
        <v>17</v>
      </c>
      <c r="V238" s="3" t="s">
        <v>2</v>
      </c>
    </row>
    <row r="239" spans="5:22" ht="15" thickBot="1" x14ac:dyDescent="0.35">
      <c r="E239" s="9" t="s">
        <v>60</v>
      </c>
      <c r="F239" s="9" t="s">
        <v>97</v>
      </c>
      <c r="S239" s="13">
        <f>SUM(Table11[[#This Row],[1]:[12]])</f>
        <v>0</v>
      </c>
      <c r="T239" s="3">
        <f>COUNTIF(G239:R239,"&gt;1")</f>
        <v>0</v>
      </c>
      <c r="U239">
        <f>Table11[[#This Row],[Total]]</f>
        <v>0</v>
      </c>
      <c r="V239" s="4"/>
    </row>
    <row r="241" spans="5:22" ht="15" thickBot="1" x14ac:dyDescent="0.35"/>
    <row r="242" spans="5:22" ht="154.19999999999999" thickBot="1" x14ac:dyDescent="0.35">
      <c r="E242" s="65" t="s">
        <v>49</v>
      </c>
      <c r="F242" s="63" t="s">
        <v>91</v>
      </c>
      <c r="G242" s="64" t="s">
        <v>65</v>
      </c>
      <c r="H242" s="64" t="s">
        <v>66</v>
      </c>
      <c r="I242" s="64" t="s">
        <v>67</v>
      </c>
      <c r="J242" s="64" t="s">
        <v>68</v>
      </c>
      <c r="K242" s="64" t="s">
        <v>69</v>
      </c>
      <c r="L242" s="64" t="s">
        <v>70</v>
      </c>
      <c r="M242" s="64" t="s">
        <v>71</v>
      </c>
      <c r="N242" s="64" t="s">
        <v>72</v>
      </c>
      <c r="O242" s="64" t="s">
        <v>73</v>
      </c>
      <c r="P242" s="64" t="s">
        <v>74</v>
      </c>
      <c r="Q242" s="64" t="s">
        <v>75</v>
      </c>
      <c r="R242" s="64" t="s">
        <v>76</v>
      </c>
      <c r="S242" s="127" t="s">
        <v>31</v>
      </c>
      <c r="T242" s="126" t="s">
        <v>42</v>
      </c>
      <c r="U242" s="66" t="s">
        <v>62</v>
      </c>
      <c r="V242" s="66" t="s">
        <v>15</v>
      </c>
    </row>
    <row r="243" spans="5:22" ht="15" thickBot="1" x14ac:dyDescent="0.35">
      <c r="E243" s="3" t="s">
        <v>103</v>
      </c>
      <c r="F243" s="9" t="s">
        <v>97</v>
      </c>
      <c r="G243" s="35">
        <v>17</v>
      </c>
      <c r="H243" s="35">
        <v>17</v>
      </c>
      <c r="I243" s="35">
        <v>20</v>
      </c>
      <c r="J243" s="35">
        <v>20</v>
      </c>
      <c r="K243" s="35"/>
      <c r="L243" s="35">
        <v>20</v>
      </c>
      <c r="M243" s="35"/>
      <c r="N243" s="35"/>
      <c r="O243" s="35"/>
      <c r="P243" s="35"/>
      <c r="Q243" s="35"/>
      <c r="R243" s="35"/>
      <c r="S243" s="2">
        <f>SUM(G243:R243)</f>
        <v>94</v>
      </c>
      <c r="T243" s="115">
        <f>COUNTIF(G243:R243,"&gt;1")</f>
        <v>5</v>
      </c>
      <c r="U243" s="80">
        <f>Table12[[#This Row],[Column14]]</f>
        <v>94</v>
      </c>
      <c r="V243" s="2" t="s">
        <v>0</v>
      </c>
    </row>
    <row r="244" spans="5:22" ht="15" thickBot="1" x14ac:dyDescent="0.35">
      <c r="E244" s="128" t="s">
        <v>80</v>
      </c>
      <c r="F244" s="50" t="s">
        <v>97</v>
      </c>
      <c r="G244" s="129">
        <v>20</v>
      </c>
      <c r="H244" s="129">
        <v>20</v>
      </c>
      <c r="I244" s="129"/>
      <c r="J244" s="129"/>
      <c r="K244" s="130"/>
      <c r="L244" s="129"/>
      <c r="M244" s="129"/>
      <c r="N244" s="129"/>
      <c r="O244" s="129"/>
      <c r="P244" s="129"/>
      <c r="Q244" s="129"/>
      <c r="R244" s="129"/>
      <c r="S244" s="128">
        <f>SUM(G244:R244)</f>
        <v>40</v>
      </c>
      <c r="T244" s="131">
        <f>COUNTIF(G244:R244,"&gt;1")</f>
        <v>2</v>
      </c>
      <c r="U244" s="80">
        <f>Table12[[#This Row],[Column14]]</f>
        <v>40</v>
      </c>
      <c r="V244" s="3" t="s">
        <v>1</v>
      </c>
    </row>
    <row r="246" spans="5:22" ht="15" thickBot="1" x14ac:dyDescent="0.35"/>
    <row r="247" spans="5:22" ht="154.19999999999999" thickBot="1" x14ac:dyDescent="0.35">
      <c r="E247" s="72" t="s">
        <v>39</v>
      </c>
      <c r="F247" s="72" t="s">
        <v>91</v>
      </c>
      <c r="G247" s="13" t="s">
        <v>65</v>
      </c>
      <c r="H247" s="13" t="s">
        <v>66</v>
      </c>
      <c r="I247" s="13" t="s">
        <v>67</v>
      </c>
      <c r="J247" s="13" t="s">
        <v>68</v>
      </c>
      <c r="K247" s="13" t="s">
        <v>69</v>
      </c>
      <c r="L247" s="13" t="s">
        <v>70</v>
      </c>
      <c r="M247" s="13" t="s">
        <v>71</v>
      </c>
      <c r="N247" s="13" t="s">
        <v>72</v>
      </c>
      <c r="O247" s="13" t="s">
        <v>73</v>
      </c>
      <c r="P247" s="13" t="s">
        <v>74</v>
      </c>
      <c r="Q247" s="13" t="s">
        <v>75</v>
      </c>
      <c r="R247" s="13" t="s">
        <v>76</v>
      </c>
      <c r="S247" s="73" t="s">
        <v>31</v>
      </c>
      <c r="T247" s="73" t="s">
        <v>42</v>
      </c>
      <c r="U247" s="32" t="s">
        <v>62</v>
      </c>
      <c r="V247" s="32" t="s">
        <v>15</v>
      </c>
    </row>
    <row r="248" spans="5:22" x14ac:dyDescent="0.3">
      <c r="E248" s="2" t="s">
        <v>81</v>
      </c>
      <c r="F248" s="12" t="s">
        <v>97</v>
      </c>
      <c r="G248" s="13">
        <v>17</v>
      </c>
      <c r="H248" s="71">
        <v>20</v>
      </c>
      <c r="I248" s="71">
        <v>20</v>
      </c>
      <c r="J248" s="71"/>
      <c r="K248" s="71"/>
      <c r="L248" s="71">
        <v>20</v>
      </c>
      <c r="M248" s="71">
        <v>20</v>
      </c>
      <c r="N248" s="71">
        <v>20</v>
      </c>
      <c r="O248">
        <v>17</v>
      </c>
      <c r="P248" s="71">
        <v>20</v>
      </c>
      <c r="Q248" s="71"/>
      <c r="R248" s="12"/>
      <c r="S248" s="13">
        <f>SUM(G248:R248)</f>
        <v>154</v>
      </c>
      <c r="T248" s="2">
        <f>COUNTIF(G248:R248,"&gt;1")</f>
        <v>8</v>
      </c>
      <c r="U248" s="71">
        <f>Table13[[#This Row],[Total]]</f>
        <v>154</v>
      </c>
      <c r="V248" s="2" t="s">
        <v>0</v>
      </c>
    </row>
    <row r="249" spans="5:22" x14ac:dyDescent="0.3">
      <c r="E249" s="3" t="s">
        <v>59</v>
      </c>
      <c r="F249" s="9" t="s">
        <v>97</v>
      </c>
      <c r="G249" s="10">
        <v>11</v>
      </c>
      <c r="H249">
        <v>15</v>
      </c>
      <c r="I249">
        <v>15</v>
      </c>
      <c r="J249">
        <v>17</v>
      </c>
      <c r="L249">
        <v>11</v>
      </c>
      <c r="N249">
        <v>17</v>
      </c>
      <c r="O249">
        <v>20</v>
      </c>
      <c r="P249">
        <v>11</v>
      </c>
      <c r="Q249">
        <v>17</v>
      </c>
      <c r="R249" s="9"/>
      <c r="S249" s="10">
        <f>SUM(Table13[[#This Row],[1]:[12]])</f>
        <v>134</v>
      </c>
      <c r="T249" s="3">
        <f>COUNTIF(G249:R249,"&gt;1")</f>
        <v>9</v>
      </c>
      <c r="U249">
        <f>Table13[[#This Row],[Total]]-Table13[[#This Row],[1]]</f>
        <v>123</v>
      </c>
      <c r="V249" s="3" t="s">
        <v>1</v>
      </c>
    </row>
    <row r="250" spans="5:22" x14ac:dyDescent="0.3">
      <c r="E250" s="3" t="s">
        <v>108</v>
      </c>
      <c r="F250" s="9" t="s">
        <v>97</v>
      </c>
      <c r="G250" s="10">
        <v>13</v>
      </c>
      <c r="H250">
        <v>13</v>
      </c>
      <c r="I250">
        <v>11</v>
      </c>
      <c r="L250">
        <v>17</v>
      </c>
      <c r="N250">
        <v>15</v>
      </c>
      <c r="Q250">
        <v>20</v>
      </c>
      <c r="R250" s="9">
        <v>20</v>
      </c>
      <c r="S250" s="10">
        <f>SUM(Table13[[#This Row],[1]:[12]])</f>
        <v>109</v>
      </c>
      <c r="T250" s="3">
        <f>COUNTIF(G250:R250,"&gt;1")</f>
        <v>7</v>
      </c>
      <c r="U250">
        <f>Table13[[#This Row],[Total]]</f>
        <v>109</v>
      </c>
      <c r="V250" s="3" t="s">
        <v>2</v>
      </c>
    </row>
    <row r="251" spans="5:22" x14ac:dyDescent="0.3">
      <c r="E251" s="3" t="s">
        <v>60</v>
      </c>
      <c r="F251" s="9" t="s">
        <v>97</v>
      </c>
      <c r="G251" s="10">
        <v>15</v>
      </c>
      <c r="H251">
        <v>11</v>
      </c>
      <c r="I251">
        <v>10</v>
      </c>
      <c r="J251">
        <v>13</v>
      </c>
      <c r="O251">
        <v>15</v>
      </c>
      <c r="P251">
        <v>15</v>
      </c>
      <c r="Q251">
        <v>15</v>
      </c>
      <c r="R251" s="9"/>
      <c r="S251" s="10">
        <f>SUM(G251:R251)</f>
        <v>94</v>
      </c>
      <c r="T251" s="3">
        <f>COUNTIF(G251:R251,"&gt;1")</f>
        <v>7</v>
      </c>
      <c r="U251">
        <f>Table13[[#This Row],[Total]]</f>
        <v>94</v>
      </c>
      <c r="V251" s="3"/>
    </row>
    <row r="252" spans="5:22" x14ac:dyDescent="0.3">
      <c r="E252" s="3" t="s">
        <v>124</v>
      </c>
      <c r="F252" s="9" t="s">
        <v>25</v>
      </c>
      <c r="G252" s="10">
        <v>20</v>
      </c>
      <c r="H252">
        <v>17</v>
      </c>
      <c r="I252">
        <v>13</v>
      </c>
      <c r="J252">
        <v>20</v>
      </c>
      <c r="K252">
        <v>20</v>
      </c>
      <c r="P252">
        <v>17</v>
      </c>
      <c r="R252" s="9"/>
      <c r="S252" s="10">
        <f>SUM(G252:R252)</f>
        <v>107</v>
      </c>
      <c r="T252" s="3">
        <f>COUNTIF(G252:R252,"&gt;1")</f>
        <v>6</v>
      </c>
      <c r="U252">
        <f>Table13[[#This Row],[Total]]-Table13[[#This Row],[4]]-Table13[[#This Row],[6]]</f>
        <v>87</v>
      </c>
      <c r="V252" s="3"/>
    </row>
    <row r="253" spans="5:22" x14ac:dyDescent="0.3">
      <c r="E253" s="3" t="s">
        <v>182</v>
      </c>
      <c r="F253" s="9" t="s">
        <v>97</v>
      </c>
      <c r="G253" s="10"/>
      <c r="I253">
        <v>17</v>
      </c>
      <c r="J253">
        <v>11</v>
      </c>
      <c r="M253">
        <v>17</v>
      </c>
      <c r="P253">
        <v>13</v>
      </c>
      <c r="R253" s="9">
        <v>17</v>
      </c>
      <c r="S253" s="10">
        <f>SUM(G253:R253)</f>
        <v>75</v>
      </c>
      <c r="T253" s="3">
        <f>COUNTIF(G253:R253,"&gt;1")</f>
        <v>5</v>
      </c>
      <c r="U253">
        <f>Table13[[#This Row],[Total]]</f>
        <v>75</v>
      </c>
      <c r="V253" s="3"/>
    </row>
    <row r="254" spans="5:22" x14ac:dyDescent="0.3">
      <c r="E254" s="3" t="s">
        <v>125</v>
      </c>
      <c r="F254" s="9" t="s">
        <v>97</v>
      </c>
      <c r="G254" s="10">
        <v>10</v>
      </c>
      <c r="H254">
        <v>10</v>
      </c>
      <c r="L254">
        <v>15</v>
      </c>
      <c r="Q254">
        <v>10</v>
      </c>
      <c r="R254" s="9">
        <v>11</v>
      </c>
      <c r="S254" s="10">
        <f>SUM(G254:R254)</f>
        <v>56</v>
      </c>
      <c r="T254" s="3">
        <f>COUNTIF(G254:R254,"&gt;1")</f>
        <v>5</v>
      </c>
      <c r="U254">
        <f>Table13[[#This Row],[Total]]</f>
        <v>56</v>
      </c>
      <c r="V254" s="3"/>
    </row>
    <row r="255" spans="5:22" x14ac:dyDescent="0.3">
      <c r="E255" s="3" t="s">
        <v>225</v>
      </c>
      <c r="F255" s="9" t="s">
        <v>97</v>
      </c>
      <c r="G255" s="10"/>
      <c r="N255">
        <v>13</v>
      </c>
      <c r="O255">
        <v>13</v>
      </c>
      <c r="Q255">
        <v>13</v>
      </c>
      <c r="R255" s="9">
        <v>13</v>
      </c>
      <c r="S255" s="10">
        <f>SUM(G255:R255)</f>
        <v>52</v>
      </c>
      <c r="T255" s="3">
        <f>COUNTIF(G255:R255,"&gt;1")</f>
        <v>4</v>
      </c>
      <c r="U255">
        <f>Table13[[#This Row],[Total]]</f>
        <v>52</v>
      </c>
      <c r="V255" s="3"/>
    </row>
    <row r="256" spans="5:22" x14ac:dyDescent="0.3">
      <c r="E256" s="3" t="s">
        <v>235</v>
      </c>
      <c r="F256" s="9" t="s">
        <v>25</v>
      </c>
      <c r="G256" s="10"/>
      <c r="P256">
        <v>10</v>
      </c>
      <c r="Q256">
        <v>11</v>
      </c>
      <c r="R256" s="9">
        <v>15</v>
      </c>
      <c r="S256" s="10">
        <f>SUM(G256:R256)</f>
        <v>36</v>
      </c>
      <c r="T256" s="3">
        <f>COUNTIF(G256:R256,"&gt;1")</f>
        <v>3</v>
      </c>
      <c r="U256">
        <f>Table13[[#This Row],[Total]]</f>
        <v>36</v>
      </c>
      <c r="V256" s="3"/>
    </row>
    <row r="257" spans="5:22" x14ac:dyDescent="0.3">
      <c r="E257" s="3" t="s">
        <v>187</v>
      </c>
      <c r="F257" s="9"/>
      <c r="G257" s="10"/>
      <c r="J257">
        <v>15</v>
      </c>
      <c r="R257" s="9"/>
      <c r="S257" s="10">
        <f>SUM(G257:R257)</f>
        <v>15</v>
      </c>
      <c r="T257" s="3">
        <f>COUNTIF(G257:R257,"&gt;1")</f>
        <v>1</v>
      </c>
      <c r="U257">
        <f>Table13[[#This Row],[Total]]</f>
        <v>15</v>
      </c>
      <c r="V257" s="3"/>
    </row>
    <row r="258" spans="5:22" x14ac:dyDescent="0.3">
      <c r="E258" s="3" t="s">
        <v>207</v>
      </c>
      <c r="F258" s="9"/>
      <c r="G258" s="10"/>
      <c r="L258">
        <v>13</v>
      </c>
      <c r="R258" s="9"/>
      <c r="S258" s="10">
        <f>SUM(G258:R258)</f>
        <v>13</v>
      </c>
      <c r="T258" s="3">
        <f>COUNTIF(G258:R258,"&gt;1")</f>
        <v>1</v>
      </c>
      <c r="U258">
        <f>Table13[[#This Row],[Total]]</f>
        <v>13</v>
      </c>
      <c r="V258" s="3"/>
    </row>
    <row r="259" spans="5:22" x14ac:dyDescent="0.3">
      <c r="E259" s="3" t="s">
        <v>179</v>
      </c>
      <c r="F259" s="9" t="s">
        <v>97</v>
      </c>
      <c r="G259" s="10"/>
      <c r="O259">
        <v>11</v>
      </c>
      <c r="R259" s="9"/>
      <c r="S259" s="10">
        <f>SUM(G259:R259)</f>
        <v>11</v>
      </c>
      <c r="T259" s="3">
        <f>COUNTIF(G259:R259,"&gt;1")</f>
        <v>1</v>
      </c>
      <c r="U259">
        <f>Table13[[#This Row],[Total]]</f>
        <v>11</v>
      </c>
      <c r="V259" s="3"/>
    </row>
    <row r="260" spans="5:22" x14ac:dyDescent="0.3">
      <c r="E260" s="3" t="s">
        <v>183</v>
      </c>
      <c r="F260" s="9" t="s">
        <v>97</v>
      </c>
      <c r="G260" s="10"/>
      <c r="I260">
        <v>9</v>
      </c>
      <c r="R260" s="9"/>
      <c r="S260" s="10">
        <f>SUM(G260:R260)</f>
        <v>9</v>
      </c>
      <c r="T260" s="3">
        <f>COUNTIF(G260:R260,"&gt;1")</f>
        <v>1</v>
      </c>
      <c r="U260">
        <f>Table13[[#This Row],[Total]]</f>
        <v>9</v>
      </c>
      <c r="V260" s="3"/>
    </row>
    <row r="261" spans="5:22" x14ac:dyDescent="0.3">
      <c r="E261" s="3"/>
      <c r="F261" s="9"/>
      <c r="G261" s="10"/>
      <c r="R261" s="9"/>
      <c r="S261" s="10">
        <f>SUM(G261:R261)</f>
        <v>0</v>
      </c>
      <c r="T261" s="3">
        <f>COUNTIF(G261:R261,"&gt;1")</f>
        <v>0</v>
      </c>
      <c r="U261">
        <f>Table13[[#This Row],[Total]]</f>
        <v>0</v>
      </c>
      <c r="V261" s="3"/>
    </row>
    <row r="262" spans="5:22" x14ac:dyDescent="0.3">
      <c r="E262" s="3"/>
      <c r="F262" s="9"/>
      <c r="G262" s="10"/>
      <c r="R262" s="9"/>
      <c r="S262" s="10">
        <f>SUM(G262:R262)</f>
        <v>0</v>
      </c>
      <c r="T262" s="3">
        <f>COUNTIF(G262:R262,"&gt;1")</f>
        <v>0</v>
      </c>
      <c r="U262">
        <f>Table13[[#This Row],[Total]]</f>
        <v>0</v>
      </c>
      <c r="V262" s="3"/>
    </row>
    <row r="263" spans="5:22" ht="15" thickBot="1" x14ac:dyDescent="0.35">
      <c r="E263" s="4"/>
      <c r="F263" s="11"/>
      <c r="G263" s="5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11"/>
      <c r="S263" s="57">
        <f>SUM(G263:R263)</f>
        <v>0</v>
      </c>
      <c r="T263" s="4">
        <f>COUNTIF(G263:R263,"&gt;1")</f>
        <v>0</v>
      </c>
      <c r="U263" s="5">
        <f>Table13[[#This Row],[Total]]</f>
        <v>0</v>
      </c>
      <c r="V263" s="4"/>
    </row>
    <row r="264" spans="5:22" ht="15" thickBot="1" x14ac:dyDescent="0.35"/>
    <row r="265" spans="5:22" ht="154.19999999999999" thickBot="1" x14ac:dyDescent="0.35">
      <c r="E265" s="36" t="s">
        <v>40</v>
      </c>
      <c r="F265" s="36" t="s">
        <v>91</v>
      </c>
      <c r="G265" s="71" t="s">
        <v>65</v>
      </c>
      <c r="H265" s="71" t="s">
        <v>66</v>
      </c>
      <c r="I265" s="71" t="s">
        <v>67</v>
      </c>
      <c r="J265" s="71" t="s">
        <v>68</v>
      </c>
      <c r="K265" s="71" t="s">
        <v>69</v>
      </c>
      <c r="L265" s="71" t="s">
        <v>70</v>
      </c>
      <c r="M265" s="71" t="s">
        <v>71</v>
      </c>
      <c r="N265" s="71" t="s">
        <v>72</v>
      </c>
      <c r="O265" s="71" t="s">
        <v>73</v>
      </c>
      <c r="P265" s="71" t="s">
        <v>74</v>
      </c>
      <c r="Q265" s="71" t="s">
        <v>75</v>
      </c>
      <c r="R265" s="71" t="s">
        <v>76</v>
      </c>
      <c r="S265" s="73" t="s">
        <v>31</v>
      </c>
      <c r="T265" s="73" t="s">
        <v>42</v>
      </c>
      <c r="U265" s="32" t="s">
        <v>62</v>
      </c>
      <c r="V265" s="32" t="s">
        <v>15</v>
      </c>
    </row>
    <row r="266" spans="5:22" x14ac:dyDescent="0.3">
      <c r="E266" s="2" t="s">
        <v>104</v>
      </c>
      <c r="F266" s="2" t="s">
        <v>97</v>
      </c>
      <c r="G266" s="13">
        <v>20</v>
      </c>
      <c r="H266" s="71">
        <v>20</v>
      </c>
      <c r="I266" s="71">
        <v>20</v>
      </c>
      <c r="J266" s="71">
        <v>20</v>
      </c>
      <c r="K266" s="71">
        <v>20</v>
      </c>
      <c r="L266" s="71">
        <v>13</v>
      </c>
      <c r="M266" s="71">
        <v>17</v>
      </c>
      <c r="N266" s="71">
        <v>17</v>
      </c>
      <c r="O266" s="71">
        <v>17</v>
      </c>
      <c r="P266" s="71"/>
      <c r="Q266" s="71">
        <v>20</v>
      </c>
      <c r="R266" s="12">
        <v>20</v>
      </c>
      <c r="S266" s="2">
        <f>SUM(Table14[[#This Row],[1]:[12]])</f>
        <v>204</v>
      </c>
      <c r="T266" s="13">
        <f>COUNTIF(G266:R266,"&gt;1")</f>
        <v>11</v>
      </c>
      <c r="U266" s="2">
        <f>Table14[[#This Row],[Total]]-Table14[[#This Row],[6]]-Table14[[#This Row],[7]]-Table14[[#This Row],[8]]</f>
        <v>157</v>
      </c>
      <c r="V266" s="2" t="s">
        <v>0</v>
      </c>
    </row>
    <row r="267" spans="5:22" x14ac:dyDescent="0.3">
      <c r="E267" s="3" t="s">
        <v>180</v>
      </c>
      <c r="F267" s="3" t="s">
        <v>97</v>
      </c>
      <c r="G267" s="10"/>
      <c r="I267">
        <v>15</v>
      </c>
      <c r="L267">
        <v>10</v>
      </c>
      <c r="O267">
        <v>20</v>
      </c>
      <c r="Q267">
        <v>17</v>
      </c>
      <c r="R267" s="9">
        <v>15</v>
      </c>
      <c r="S267" s="3">
        <f>SUM(Table14[[#This Row],[1]:[12]])</f>
        <v>77</v>
      </c>
      <c r="T267" s="10">
        <f>COUNTIF(G267:R267,"&gt;1")</f>
        <v>5</v>
      </c>
      <c r="U267" s="3">
        <f>Table14[[#This Row],[Total]]</f>
        <v>77</v>
      </c>
      <c r="V267" s="3" t="s">
        <v>1</v>
      </c>
    </row>
    <row r="268" spans="5:22" x14ac:dyDescent="0.3">
      <c r="E268" s="3" t="s">
        <v>208</v>
      </c>
      <c r="F268" s="3"/>
      <c r="G268" s="10"/>
      <c r="L268">
        <v>20</v>
      </c>
      <c r="M268">
        <v>20</v>
      </c>
      <c r="N268">
        <v>20</v>
      </c>
      <c r="R268" s="9"/>
      <c r="S268" s="3">
        <f>SUM(Table14[[#This Row],[1]:[12]])</f>
        <v>60</v>
      </c>
      <c r="T268" s="10">
        <f>COUNTIF(G268:R268,"&gt;1")</f>
        <v>3</v>
      </c>
      <c r="U268" s="3">
        <f>Table14[[#This Row],[Total]]</f>
        <v>60</v>
      </c>
      <c r="V268" s="3" t="s">
        <v>2</v>
      </c>
    </row>
    <row r="269" spans="5:22" x14ac:dyDescent="0.3">
      <c r="E269" s="3" t="s">
        <v>252</v>
      </c>
      <c r="F269" s="3" t="s">
        <v>25</v>
      </c>
      <c r="G269" s="10"/>
      <c r="Q269">
        <v>15</v>
      </c>
      <c r="R269" s="9">
        <v>17</v>
      </c>
      <c r="S269" s="3">
        <f>SUM(Table14[[#This Row],[1]:[12]])</f>
        <v>32</v>
      </c>
      <c r="T269" s="10">
        <f>COUNTIF(G269:R269,"&gt;1")</f>
        <v>2</v>
      </c>
      <c r="U269" s="3">
        <f>Table14[[#This Row],[Total]]</f>
        <v>32</v>
      </c>
      <c r="V269" s="3"/>
    </row>
    <row r="270" spans="5:22" x14ac:dyDescent="0.3">
      <c r="E270" s="3" t="s">
        <v>218</v>
      </c>
      <c r="F270" s="3" t="s">
        <v>97</v>
      </c>
      <c r="G270" s="10"/>
      <c r="M270">
        <v>15</v>
      </c>
      <c r="N270">
        <v>15</v>
      </c>
      <c r="R270" s="9"/>
      <c r="S270" s="3">
        <f>SUM(Table14[[#This Row],[1]:[12]])</f>
        <v>30</v>
      </c>
      <c r="T270" s="10">
        <f>COUNTIF(G270:R270,"&gt;1")</f>
        <v>2</v>
      </c>
      <c r="U270" s="3">
        <f>Table14[[#This Row],[Total]]</f>
        <v>30</v>
      </c>
      <c r="V270" s="3"/>
    </row>
    <row r="271" spans="5:22" x14ac:dyDescent="0.3">
      <c r="E271" s="3" t="s">
        <v>181</v>
      </c>
      <c r="F271" s="3" t="s">
        <v>97</v>
      </c>
      <c r="G271" s="10"/>
      <c r="I271">
        <v>13</v>
      </c>
      <c r="L271">
        <v>11</v>
      </c>
      <c r="R271" s="9"/>
      <c r="S271" s="3">
        <f>SUM(Table14[[#This Row],[1]:[12]])</f>
        <v>24</v>
      </c>
      <c r="T271" s="10">
        <f>COUNTIF(G271:R271,"&gt;1")</f>
        <v>2</v>
      </c>
      <c r="U271" s="3">
        <f>Table14[[#This Row],[Total]]</f>
        <v>24</v>
      </c>
      <c r="V271" s="3"/>
    </row>
    <row r="272" spans="5:22" x14ac:dyDescent="0.3">
      <c r="E272" s="3" t="s">
        <v>179</v>
      </c>
      <c r="F272" s="3" t="s">
        <v>97</v>
      </c>
      <c r="G272" s="10"/>
      <c r="I272">
        <v>17</v>
      </c>
      <c r="R272" s="9"/>
      <c r="S272" s="3">
        <f>SUM(Table14[[#This Row],[1]:[12]])</f>
        <v>17</v>
      </c>
      <c r="T272" s="10">
        <f>COUNTIF(G272:R272,"&gt;1")</f>
        <v>1</v>
      </c>
      <c r="U272" s="3">
        <f>Table14[[#This Row],[Total]]</f>
        <v>17</v>
      </c>
      <c r="V272" s="3"/>
    </row>
    <row r="273" spans="5:24" x14ac:dyDescent="0.3">
      <c r="E273" s="3" t="s">
        <v>209</v>
      </c>
      <c r="F273" s="3"/>
      <c r="G273" s="10"/>
      <c r="L273">
        <v>17</v>
      </c>
      <c r="R273" s="9"/>
      <c r="S273" s="3">
        <f>SUM(Table14[[#This Row],[1]:[12]])</f>
        <v>17</v>
      </c>
      <c r="T273" s="10">
        <f>COUNTIF(G273:R273,"&gt;1")</f>
        <v>1</v>
      </c>
      <c r="U273" s="3">
        <f>Table14[[#This Row],[Total]]</f>
        <v>17</v>
      </c>
      <c r="V273" s="3"/>
    </row>
    <row r="274" spans="5:24" x14ac:dyDescent="0.3">
      <c r="E274" s="3" t="s">
        <v>210</v>
      </c>
      <c r="F274" s="3"/>
      <c r="G274" s="10"/>
      <c r="L274">
        <v>15</v>
      </c>
      <c r="R274" s="9"/>
      <c r="S274" s="3">
        <f>SUM(Table14[[#This Row],[1]:[12]])</f>
        <v>15</v>
      </c>
      <c r="T274" s="10">
        <f>COUNTIF(G274:R274,"&gt;1")</f>
        <v>1</v>
      </c>
      <c r="U274" s="3">
        <f>Table14[[#This Row],[Total]]</f>
        <v>15</v>
      </c>
      <c r="V274" s="3"/>
    </row>
    <row r="275" spans="5:24" x14ac:dyDescent="0.3">
      <c r="E275" s="3" t="s">
        <v>219</v>
      </c>
      <c r="F275" s="3"/>
      <c r="G275" s="10"/>
      <c r="M275">
        <v>13</v>
      </c>
      <c r="R275" s="9"/>
      <c r="S275" s="3">
        <f>SUM(Table14[[#This Row],[1]:[12]])</f>
        <v>13</v>
      </c>
      <c r="T275" s="10">
        <f>COUNTIF(G275:R275,"&gt;1")</f>
        <v>1</v>
      </c>
      <c r="U275" s="3">
        <f>Table14[[#This Row],[Total]]</f>
        <v>13</v>
      </c>
      <c r="V275" s="3"/>
    </row>
    <row r="276" spans="5:24" x14ac:dyDescent="0.3">
      <c r="E276" s="3" t="s">
        <v>226</v>
      </c>
      <c r="F276" s="3" t="s">
        <v>97</v>
      </c>
      <c r="G276" s="10"/>
      <c r="N276">
        <v>13</v>
      </c>
      <c r="R276" s="9"/>
      <c r="S276" s="3">
        <f>SUM(Table14[[#This Row],[1]:[12]])</f>
        <v>13</v>
      </c>
      <c r="T276" s="10">
        <f>COUNTIF(G276:R276,"&gt;1")</f>
        <v>1</v>
      </c>
      <c r="U276" s="3">
        <f>Table14[[#This Row],[Total]]</f>
        <v>13</v>
      </c>
      <c r="V276" s="3"/>
    </row>
    <row r="277" spans="5:24" x14ac:dyDescent="0.3">
      <c r="E277" s="3" t="s">
        <v>253</v>
      </c>
      <c r="F277" s="3" t="s">
        <v>84</v>
      </c>
      <c r="G277" s="10"/>
      <c r="Q277">
        <v>13</v>
      </c>
      <c r="R277" s="9"/>
      <c r="S277" s="3">
        <f>SUM(Table14[[#This Row],[1]:[12]])</f>
        <v>13</v>
      </c>
      <c r="T277">
        <f>COUNTIF(G277:R277,"&gt;1")</f>
        <v>1</v>
      </c>
      <c r="U277" s="3">
        <f>Table14[[#This Row],[Total]]</f>
        <v>13</v>
      </c>
      <c r="V277" s="3"/>
    </row>
    <row r="278" spans="5:24" x14ac:dyDescent="0.3">
      <c r="E278" s="3" t="s">
        <v>211</v>
      </c>
      <c r="F278" s="3"/>
      <c r="G278" s="10"/>
      <c r="L278">
        <v>9</v>
      </c>
      <c r="R278" s="9"/>
      <c r="S278" s="3">
        <f>SUM(Table14[[#This Row],[1]:[12]])</f>
        <v>9</v>
      </c>
      <c r="T278" s="115">
        <f>COUNTIF(G278:R278,"&gt;1")</f>
        <v>1</v>
      </c>
      <c r="U278" s="3">
        <f>Table14[[#This Row],[Total]]</f>
        <v>9</v>
      </c>
      <c r="V278" s="3"/>
    </row>
    <row r="279" spans="5:24" x14ac:dyDescent="0.3">
      <c r="E279" s="3"/>
      <c r="F279" s="3"/>
      <c r="G279" s="10"/>
      <c r="R279" s="9"/>
      <c r="S279" s="3">
        <f>SUM(Table14[[#This Row],[1]:[12]])</f>
        <v>0</v>
      </c>
      <c r="T279">
        <f>COUNTIF(G279:R279,"&gt;1")</f>
        <v>0</v>
      </c>
      <c r="U279" s="3">
        <f>Table14[[#This Row],[Total]]</f>
        <v>0</v>
      </c>
      <c r="V279" s="3"/>
    </row>
    <row r="280" spans="5:24" x14ac:dyDescent="0.3">
      <c r="E280" s="3"/>
      <c r="F280" s="3"/>
      <c r="G280" s="10"/>
      <c r="R280" s="9"/>
      <c r="S280" s="3">
        <f>SUM(Table14[[#This Row],[1]:[12]])</f>
        <v>0</v>
      </c>
      <c r="T280">
        <f>COUNTIF(G280:R280,"&gt;1")</f>
        <v>0</v>
      </c>
      <c r="U280" s="3">
        <f>Table14[[#This Row],[Total]]</f>
        <v>0</v>
      </c>
      <c r="V280" s="3"/>
    </row>
    <row r="281" spans="5:24" x14ac:dyDescent="0.3">
      <c r="E281" s="3"/>
      <c r="F281" s="3"/>
      <c r="G281" s="10"/>
      <c r="R281" s="9"/>
      <c r="S281" s="3">
        <f>SUM(Table14[[#This Row],[1]:[12]])</f>
        <v>0</v>
      </c>
      <c r="T281">
        <f>COUNTIF(G281:R281,"&gt;1")</f>
        <v>0</v>
      </c>
      <c r="U281" s="3">
        <f>Table14[[#This Row],[Total]]-Table14[[#This Row],[4]]</f>
        <v>0</v>
      </c>
      <c r="V281" s="3"/>
    </row>
    <row r="282" spans="5:24" x14ac:dyDescent="0.3">
      <c r="E282" s="3"/>
      <c r="F282" s="3"/>
      <c r="G282" s="10"/>
      <c r="R282" s="9"/>
      <c r="S282" s="3">
        <f>SUM(Table14[[#This Row],[1]:[12]])</f>
        <v>0</v>
      </c>
      <c r="T282">
        <f>COUNTIF(G282:R282,"&gt;1")</f>
        <v>0</v>
      </c>
      <c r="U282" s="3">
        <f>Table14[[#This Row],[Total]]-Table14[[#This Row],[4]]</f>
        <v>0</v>
      </c>
      <c r="V282" s="3"/>
    </row>
    <row r="283" spans="5:24" x14ac:dyDescent="0.3">
      <c r="E283" s="3"/>
      <c r="F283" s="3"/>
      <c r="G283" s="10"/>
      <c r="R283" s="9"/>
      <c r="S283" s="3">
        <f>SUM(Table14[[#This Row],[1]:[12]])</f>
        <v>0</v>
      </c>
      <c r="T283">
        <f>COUNTIF(G283:R283,"&gt;1")</f>
        <v>0</v>
      </c>
      <c r="U283" s="3">
        <f>Table14[[#This Row],[Total]]-Table14[[#This Row],[4]]</f>
        <v>0</v>
      </c>
      <c r="V283" s="3"/>
    </row>
    <row r="284" spans="5:24" ht="15" thickBot="1" x14ac:dyDescent="0.35">
      <c r="E284" s="4"/>
      <c r="F284" s="4"/>
      <c r="G284" s="57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11"/>
      <c r="S284" s="4">
        <f>SUM(Table14[[#This Row],[1]:[12]])</f>
        <v>0</v>
      </c>
      <c r="T284" s="5">
        <f>COUNTIF(G284:R284,"&gt;1")</f>
        <v>0</v>
      </c>
      <c r="U284" s="4">
        <f>Table14[[#This Row],[Total]]-Table14[[#This Row],[4]]</f>
        <v>0</v>
      </c>
      <c r="V284" s="4"/>
    </row>
    <row r="286" spans="5:24" ht="15" thickBot="1" x14ac:dyDescent="0.35"/>
    <row r="287" spans="5:24" ht="154.19999999999999" thickBot="1" x14ac:dyDescent="0.35">
      <c r="E287" s="36" t="s">
        <v>47</v>
      </c>
      <c r="F287" s="36" t="s">
        <v>91</v>
      </c>
      <c r="G287" s="35" t="s">
        <v>65</v>
      </c>
      <c r="H287" s="35" t="s">
        <v>66</v>
      </c>
      <c r="I287" s="35" t="s">
        <v>67</v>
      </c>
      <c r="J287" s="35" t="s">
        <v>68</v>
      </c>
      <c r="K287" s="35" t="s">
        <v>69</v>
      </c>
      <c r="L287" s="35" t="s">
        <v>70</v>
      </c>
      <c r="M287" s="35" t="s">
        <v>71</v>
      </c>
      <c r="N287" s="35" t="s">
        <v>72</v>
      </c>
      <c r="O287" s="35" t="s">
        <v>73</v>
      </c>
      <c r="P287" s="35" t="s">
        <v>74</v>
      </c>
      <c r="Q287" s="35" t="s">
        <v>75</v>
      </c>
      <c r="R287" s="35" t="s">
        <v>76</v>
      </c>
      <c r="S287" s="7" t="s">
        <v>31</v>
      </c>
      <c r="T287" s="7" t="s">
        <v>42</v>
      </c>
      <c r="U287" s="54" t="s">
        <v>61</v>
      </c>
      <c r="V287" s="7" t="s">
        <v>64</v>
      </c>
      <c r="W287" s="32" t="s">
        <v>62</v>
      </c>
      <c r="X287" s="32" t="s">
        <v>15</v>
      </c>
    </row>
    <row r="288" spans="5:24" ht="15" thickBot="1" x14ac:dyDescent="0.35">
      <c r="E288" s="78" t="s">
        <v>53</v>
      </c>
      <c r="F288" s="103" t="s">
        <v>27</v>
      </c>
      <c r="G288" s="102">
        <v>20</v>
      </c>
      <c r="H288" s="102">
        <v>15</v>
      </c>
      <c r="I288" s="102">
        <v>15</v>
      </c>
      <c r="J288" s="102">
        <v>20</v>
      </c>
      <c r="K288" s="102">
        <v>20</v>
      </c>
      <c r="L288" s="102">
        <v>20</v>
      </c>
      <c r="M288" s="102"/>
      <c r="N288" s="102">
        <v>17</v>
      </c>
      <c r="O288" s="98">
        <v>17</v>
      </c>
      <c r="P288" s="102">
        <v>20</v>
      </c>
      <c r="Q288" s="102">
        <v>17</v>
      </c>
      <c r="R288" s="103">
        <v>20</v>
      </c>
      <c r="S288" s="78">
        <f>SUM(Table15[[#This Row],[1]:[12]])</f>
        <v>201</v>
      </c>
      <c r="T288" s="78">
        <f>COUNTIF(G288:R288,"&gt;1")</f>
        <v>11</v>
      </c>
      <c r="U288" s="12" t="s">
        <v>220</v>
      </c>
      <c r="V288" s="2" t="str">
        <f>IF(Table15[[#This Row],[Observed? Y or N]]="N", "-20", "0")</f>
        <v>0</v>
      </c>
      <c r="W288" s="3">
        <f>Table15[[#This Row],[Total]]+Table15[[#This Row],[Penalty Applied]]-Table15[[#This Row],[2]]-Table15[[#This Row],[3]]-Table15[[#This Row],[8]]</f>
        <v>154</v>
      </c>
      <c r="X288" s="2" t="s">
        <v>0</v>
      </c>
    </row>
    <row r="289" spans="5:24" ht="15" thickBot="1" x14ac:dyDescent="0.35">
      <c r="E289" s="41" t="s">
        <v>96</v>
      </c>
      <c r="F289" s="39" t="s">
        <v>84</v>
      </c>
      <c r="G289" s="40">
        <v>17</v>
      </c>
      <c r="H289" s="40">
        <v>11</v>
      </c>
      <c r="I289" s="40">
        <v>17</v>
      </c>
      <c r="J289" s="40">
        <v>15</v>
      </c>
      <c r="K289" s="40">
        <v>13</v>
      </c>
      <c r="L289" s="40">
        <v>13</v>
      </c>
      <c r="M289" s="40">
        <v>20</v>
      </c>
      <c r="N289" s="40">
        <v>11</v>
      </c>
      <c r="O289" s="40">
        <v>11</v>
      </c>
      <c r="P289" s="40">
        <v>15</v>
      </c>
      <c r="Q289" s="40">
        <v>15</v>
      </c>
      <c r="R289" s="39">
        <v>15</v>
      </c>
      <c r="S289" s="78">
        <f>SUM(Table15[[#This Row],[1]:[12]])</f>
        <v>173</v>
      </c>
      <c r="T289" s="76">
        <f>COUNTIF(G289:R289,"&gt;1")</f>
        <v>12</v>
      </c>
      <c r="U289" s="9" t="s">
        <v>63</v>
      </c>
      <c r="V289" s="43" t="str">
        <f>IF(Table15[[#This Row],[Observed? Y or N]]="N", "-20", "0")</f>
        <v>-20</v>
      </c>
      <c r="W289" s="43">
        <f>Table15[[#This Row],[Total]]+Table15[[#This Row],[Penalty Applied]]-Table15[[#This Row],[2]]-Table15[[#This Row],[8]]-Table15[[#This Row],[9]]-Table15[[#This Row],[6]]</f>
        <v>107</v>
      </c>
      <c r="X289" s="3" t="s">
        <v>1</v>
      </c>
    </row>
    <row r="290" spans="5:24" ht="15" thickBot="1" x14ac:dyDescent="0.35">
      <c r="E290" s="105" t="s">
        <v>90</v>
      </c>
      <c r="F290" s="104" t="s">
        <v>41</v>
      </c>
      <c r="G290" s="106">
        <v>15</v>
      </c>
      <c r="H290" s="106">
        <v>13</v>
      </c>
      <c r="I290" s="106">
        <v>13</v>
      </c>
      <c r="J290" s="106">
        <v>13</v>
      </c>
      <c r="K290" s="106">
        <v>11</v>
      </c>
      <c r="L290" s="106">
        <v>11</v>
      </c>
      <c r="M290" s="106"/>
      <c r="N290" s="106"/>
      <c r="O290" s="106"/>
      <c r="P290" s="106"/>
      <c r="Q290" s="106">
        <v>11</v>
      </c>
      <c r="R290" s="104">
        <v>17</v>
      </c>
      <c r="S290" s="108">
        <f>SUM(Table15[[#This Row],[1]:[12]])</f>
        <v>104</v>
      </c>
      <c r="T290" s="105">
        <f>COUNTIF(G290:R290,"&gt;1")</f>
        <v>8</v>
      </c>
      <c r="U290" s="9" t="s">
        <v>220</v>
      </c>
      <c r="V290" s="3" t="str">
        <f>IF(Table15[[#This Row],[Observed? Y or N]]="N", "-20", "0")</f>
        <v>0</v>
      </c>
      <c r="W290" s="3">
        <f>Table15[[#This Row],[Total]]+Table15[[#This Row],[Penalty Applied]]</f>
        <v>104</v>
      </c>
      <c r="X290" s="3" t="s">
        <v>2</v>
      </c>
    </row>
    <row r="291" spans="5:24" x14ac:dyDescent="0.3">
      <c r="E291" s="78" t="s">
        <v>194</v>
      </c>
      <c r="F291" s="103" t="s">
        <v>26</v>
      </c>
      <c r="G291" s="98"/>
      <c r="H291" s="98"/>
      <c r="I291" s="98"/>
      <c r="J291" s="98"/>
      <c r="K291" s="98">
        <v>17</v>
      </c>
      <c r="L291" s="98"/>
      <c r="M291" s="98">
        <v>15</v>
      </c>
      <c r="N291" s="98">
        <v>13</v>
      </c>
      <c r="O291" s="98">
        <v>13</v>
      </c>
      <c r="P291" s="98">
        <v>17</v>
      </c>
      <c r="Q291" s="98">
        <v>13</v>
      </c>
      <c r="R291" s="97"/>
      <c r="S291" s="78">
        <f>SUM(Table15[[#This Row],[1]:[12]])</f>
        <v>88</v>
      </c>
      <c r="T291" s="76">
        <f>COUNTIF(G291:R291,"&gt;1")</f>
        <v>6</v>
      </c>
      <c r="U291" s="9" t="s">
        <v>220</v>
      </c>
      <c r="V291" s="3" t="str">
        <f>IF(Table15[[#This Row],[Observed? Y or N]]="N", "-20", "0")</f>
        <v>0</v>
      </c>
      <c r="W291" s="3">
        <f>Table15[[#This Row],[Total]]+Table15[[#This Row],[Penalty Applied]]</f>
        <v>88</v>
      </c>
      <c r="X291" s="3"/>
    </row>
    <row r="292" spans="5:24" ht="15" thickBot="1" x14ac:dyDescent="0.35">
      <c r="E292" s="76" t="s">
        <v>151</v>
      </c>
      <c r="F292" s="97" t="s">
        <v>86</v>
      </c>
      <c r="G292" s="98"/>
      <c r="H292" s="98"/>
      <c r="I292" s="98">
        <v>10</v>
      </c>
      <c r="J292" s="98"/>
      <c r="K292" s="98"/>
      <c r="L292" s="98"/>
      <c r="M292" s="98">
        <v>17</v>
      </c>
      <c r="N292" s="98"/>
      <c r="O292" s="98"/>
      <c r="P292" s="98"/>
      <c r="Q292" s="98"/>
      <c r="R292" s="97"/>
      <c r="S292" s="76">
        <f>SUM(Table15[[#This Row],[1]:[12]])</f>
        <v>27</v>
      </c>
      <c r="T292" s="76">
        <f>COUNTIF(G292:R292,"&gt;1")</f>
        <v>2</v>
      </c>
      <c r="U292" s="9" t="s">
        <v>220</v>
      </c>
      <c r="V292" s="3" t="str">
        <f>IF(Table15[[#This Row],[Observed? Y or N]]="N", "-20", "0")</f>
        <v>0</v>
      </c>
      <c r="W292" s="3">
        <f>Table15[[#This Row],[Total]]+Table15[[#This Row],[Penalty Applied]]</f>
        <v>27</v>
      </c>
      <c r="X292" s="3"/>
    </row>
    <row r="293" spans="5:24" x14ac:dyDescent="0.3">
      <c r="E293" s="41" t="s">
        <v>158</v>
      </c>
      <c r="F293" s="39" t="s">
        <v>86</v>
      </c>
      <c r="G293" s="40"/>
      <c r="H293" s="40">
        <v>20</v>
      </c>
      <c r="I293" s="40"/>
      <c r="J293" s="40"/>
      <c r="K293" s="40"/>
      <c r="L293" s="40"/>
      <c r="M293" s="40"/>
      <c r="N293" s="40"/>
      <c r="O293" s="40">
        <v>20</v>
      </c>
      <c r="P293" s="40"/>
      <c r="Q293" s="40"/>
      <c r="R293" s="39"/>
      <c r="S293" s="78">
        <f>SUM(Table15[[#This Row],[1]:[12]])</f>
        <v>40</v>
      </c>
      <c r="T293" s="76">
        <f>COUNTIF(G293:R293,"&gt;1")</f>
        <v>2</v>
      </c>
      <c r="U293" s="9" t="s">
        <v>63</v>
      </c>
      <c r="V293" s="43" t="str">
        <f>IF(Table15[[#This Row],[Observed? Y or N]]="N", "-20", "0")</f>
        <v>-20</v>
      </c>
      <c r="W293" s="43">
        <f>Table15[[#This Row],[Total]]+Table15[[#This Row],[Penalty Applied]]</f>
        <v>20</v>
      </c>
      <c r="X293" s="3"/>
    </row>
    <row r="294" spans="5:24" x14ac:dyDescent="0.3">
      <c r="E294" s="41" t="s">
        <v>141</v>
      </c>
      <c r="F294" s="39" t="s">
        <v>84</v>
      </c>
      <c r="G294" s="40"/>
      <c r="H294" s="40"/>
      <c r="I294" s="40"/>
      <c r="J294" s="40"/>
      <c r="K294" s="40"/>
      <c r="L294" s="40"/>
      <c r="M294" s="40"/>
      <c r="N294" s="40">
        <v>20</v>
      </c>
      <c r="O294" s="40"/>
      <c r="P294" s="40"/>
      <c r="Q294" s="40">
        <v>20</v>
      </c>
      <c r="R294" s="39"/>
      <c r="S294" s="41">
        <f>SUM(Table15[[#This Row],[1]:[12]])</f>
        <v>40</v>
      </c>
      <c r="T294" s="41">
        <f>COUNTIF(G294:R294,"&gt;1")</f>
        <v>2</v>
      </c>
      <c r="U294" s="9" t="s">
        <v>63</v>
      </c>
      <c r="V294" s="43" t="str">
        <f>IF(Table15[[#This Row],[Observed? Y or N]]="N", "-20", "0")</f>
        <v>-20</v>
      </c>
      <c r="W294" s="43">
        <f>Table15[[#This Row],[Total]]+Table15[[#This Row],[Penalty Applied]]</f>
        <v>20</v>
      </c>
      <c r="X294" s="3"/>
    </row>
    <row r="295" spans="5:24" x14ac:dyDescent="0.3">
      <c r="E295" s="41" t="s">
        <v>126</v>
      </c>
      <c r="F295" s="39" t="s">
        <v>30</v>
      </c>
      <c r="G295" s="40">
        <v>13</v>
      </c>
      <c r="H295" s="40"/>
      <c r="I295" s="40">
        <v>11</v>
      </c>
      <c r="J295" s="40"/>
      <c r="K295" s="40"/>
      <c r="L295" s="40"/>
      <c r="M295" s="40"/>
      <c r="N295" s="40"/>
      <c r="O295" s="40">
        <v>10</v>
      </c>
      <c r="P295" s="40"/>
      <c r="Q295" s="40"/>
      <c r="R295" s="39"/>
      <c r="S295" s="41">
        <f>SUM(Table15[[#This Row],[1]:[12]])</f>
        <v>34</v>
      </c>
      <c r="T295" s="41">
        <f>COUNTIF(G295:R295,"&gt;1")</f>
        <v>3</v>
      </c>
      <c r="U295" s="9" t="s">
        <v>63</v>
      </c>
      <c r="V295" s="43" t="str">
        <f>IF(Table15[[#This Row],[Observed? Y or N]]="N", "-20", "0")</f>
        <v>-20</v>
      </c>
      <c r="W295" s="43">
        <f>Table15[[#This Row],[Total]]+Table15[[#This Row],[Penalty Applied]]</f>
        <v>14</v>
      </c>
      <c r="X295" s="3"/>
    </row>
    <row r="296" spans="5:24" x14ac:dyDescent="0.3">
      <c r="E296" s="76" t="s">
        <v>186</v>
      </c>
      <c r="F296" s="97" t="s">
        <v>30</v>
      </c>
      <c r="G296" s="98"/>
      <c r="H296" s="98"/>
      <c r="I296" s="98"/>
      <c r="J296" s="98">
        <v>17</v>
      </c>
      <c r="K296" s="98"/>
      <c r="L296" s="98">
        <v>17</v>
      </c>
      <c r="M296" s="98"/>
      <c r="N296" s="98"/>
      <c r="O296" s="98"/>
      <c r="P296" s="98"/>
      <c r="Q296" s="98"/>
      <c r="R296" s="97"/>
      <c r="S296" s="76">
        <f>SUM(Table15[[#This Row],[1]:[12]])</f>
        <v>34</v>
      </c>
      <c r="T296" s="76">
        <f>COUNTIF(G296:R296,"&gt;1")</f>
        <v>2</v>
      </c>
      <c r="U296" s="9" t="s">
        <v>220</v>
      </c>
      <c r="V296" s="121" t="str">
        <f>IF(Table15[[#This Row],[Observed? Y or N]]="N", "-20", "0")</f>
        <v>0</v>
      </c>
      <c r="W296" s="121">
        <f>Table15[[#This Row],[Total]]+Table15[[#This Row],[Penalty Applied]]</f>
        <v>34</v>
      </c>
      <c r="X296" s="3"/>
    </row>
    <row r="297" spans="5:24" x14ac:dyDescent="0.3">
      <c r="E297" s="41" t="s">
        <v>202</v>
      </c>
      <c r="F297" s="39" t="s">
        <v>87</v>
      </c>
      <c r="G297" s="40"/>
      <c r="H297" s="40"/>
      <c r="I297" s="40"/>
      <c r="J297" s="40"/>
      <c r="K297" s="40"/>
      <c r="L297" s="40">
        <v>15</v>
      </c>
      <c r="M297" s="40"/>
      <c r="N297" s="40">
        <v>15</v>
      </c>
      <c r="O297" s="40"/>
      <c r="P297" s="40"/>
      <c r="Q297" s="40"/>
      <c r="R297" s="39"/>
      <c r="S297" s="41">
        <f>SUM(Table15[[#This Row],[1]:[12]])</f>
        <v>30</v>
      </c>
      <c r="T297" s="41">
        <f>COUNTIF(G297:R297,"&gt;1")</f>
        <v>2</v>
      </c>
      <c r="U297" s="9" t="s">
        <v>63</v>
      </c>
      <c r="V297" s="43" t="str">
        <f>IF(Table15[[#This Row],[Observed? Y or N]]="N", "-20", "0")</f>
        <v>-20</v>
      </c>
      <c r="W297" s="43">
        <f>Table15[[#This Row],[Total]]+Table15[[#This Row],[Penalty Applied]]</f>
        <v>10</v>
      </c>
      <c r="X297" s="3"/>
    </row>
    <row r="298" spans="5:24" x14ac:dyDescent="0.3">
      <c r="E298" s="41" t="s">
        <v>177</v>
      </c>
      <c r="F298" s="39"/>
      <c r="G298" s="40"/>
      <c r="H298" s="40"/>
      <c r="I298" s="40">
        <v>20</v>
      </c>
      <c r="J298" s="40"/>
      <c r="K298" s="40"/>
      <c r="L298" s="40"/>
      <c r="M298" s="40"/>
      <c r="N298" s="40"/>
      <c r="O298" s="40"/>
      <c r="P298" s="40"/>
      <c r="Q298" s="40"/>
      <c r="R298" s="39"/>
      <c r="S298" s="41">
        <f>SUM(Table15[[#This Row],[1]:[12]])</f>
        <v>20</v>
      </c>
      <c r="T298" s="41">
        <f>COUNTIF(G298:R298,"&gt;1")</f>
        <v>1</v>
      </c>
      <c r="U298" s="9" t="s">
        <v>63</v>
      </c>
      <c r="V298" s="43" t="str">
        <f>IF(Table15[[#This Row],[Observed? Y or N]]="N", "-20", "0")</f>
        <v>-20</v>
      </c>
      <c r="W298" s="43">
        <f>Table15[[#This Row],[Total]]+Table15[[#This Row],[Penalty Applied]]</f>
        <v>0</v>
      </c>
      <c r="X298" s="3"/>
    </row>
    <row r="299" spans="5:24" x14ac:dyDescent="0.3">
      <c r="E299" s="41" t="s">
        <v>159</v>
      </c>
      <c r="F299" s="39" t="s">
        <v>87</v>
      </c>
      <c r="G299" s="40"/>
      <c r="H299" s="40">
        <v>17</v>
      </c>
      <c r="I299" s="40"/>
      <c r="J299" s="40"/>
      <c r="K299" s="40"/>
      <c r="L299" s="40"/>
      <c r="M299" s="40"/>
      <c r="N299" s="40"/>
      <c r="O299" s="40"/>
      <c r="P299" s="40"/>
      <c r="Q299" s="40"/>
      <c r="R299" s="39"/>
      <c r="S299" s="41">
        <f>SUM(Table15[[#This Row],[1]:[12]])</f>
        <v>17</v>
      </c>
      <c r="T299" s="41">
        <f>COUNTIF(G299:R299,"&gt;1")</f>
        <v>1</v>
      </c>
      <c r="U299" s="50" t="s">
        <v>63</v>
      </c>
      <c r="V299" s="58" t="str">
        <f>IF(Table15[[#This Row],[Observed? Y or N]]="N", "-20", "0")</f>
        <v>-20</v>
      </c>
      <c r="W299" s="58">
        <f>Table15[[#This Row],[Total]]+Table15[[#This Row],[Penalty Applied]]</f>
        <v>-3</v>
      </c>
      <c r="X299" s="53"/>
    </row>
    <row r="300" spans="5:24" x14ac:dyDescent="0.3">
      <c r="E300" s="41" t="s">
        <v>195</v>
      </c>
      <c r="F300" s="39" t="s">
        <v>30</v>
      </c>
      <c r="G300" s="40"/>
      <c r="H300" s="40"/>
      <c r="I300" s="40"/>
      <c r="J300" s="40"/>
      <c r="K300" s="40">
        <v>15</v>
      </c>
      <c r="L300" s="40"/>
      <c r="M300" s="40"/>
      <c r="N300" s="40"/>
      <c r="O300" s="40"/>
      <c r="P300" s="40"/>
      <c r="Q300" s="40"/>
      <c r="R300" s="39"/>
      <c r="S300" s="41">
        <f>SUM(Table15[[#This Row],[1]:[12]])</f>
        <v>15</v>
      </c>
      <c r="T300" s="41">
        <f>COUNTIF(G300:R300,"&gt;1")</f>
        <v>1</v>
      </c>
      <c r="U300" s="9" t="s">
        <v>63</v>
      </c>
      <c r="V300" s="43" t="str">
        <f>IF(Table15[[#This Row],[Observed? Y or N]]="N", "-20", "0")</f>
        <v>-20</v>
      </c>
      <c r="W300" s="43">
        <f>Table15[[#This Row],[Total]]+Table15[[#This Row],[Penalty Applied]]</f>
        <v>-5</v>
      </c>
      <c r="X300" s="3"/>
    </row>
    <row r="301" spans="5:24" x14ac:dyDescent="0.3">
      <c r="E301" s="41" t="s">
        <v>149</v>
      </c>
      <c r="F301" s="39" t="s">
        <v>231</v>
      </c>
      <c r="G301" s="40"/>
      <c r="H301" s="40"/>
      <c r="I301" s="40"/>
      <c r="J301" s="40"/>
      <c r="K301" s="40"/>
      <c r="L301" s="40"/>
      <c r="M301" s="40"/>
      <c r="N301" s="40"/>
      <c r="O301" s="40">
        <v>15</v>
      </c>
      <c r="P301" s="40"/>
      <c r="Q301" s="40"/>
      <c r="R301" s="39"/>
      <c r="S301" s="41">
        <f>SUM(G301:R301)</f>
        <v>15</v>
      </c>
      <c r="T301" s="41">
        <f>COUNTIF(G301:R301,"&gt;1")</f>
        <v>1</v>
      </c>
      <c r="U301" s="9" t="s">
        <v>63</v>
      </c>
      <c r="V301" s="43" t="str">
        <f>IF(Table15[[#This Row],[Observed? Y or N]]="N", "-20", "0")</f>
        <v>-20</v>
      </c>
      <c r="W301" s="43">
        <f>Table15[[#This Row],[Total]]+Table15[[#This Row],[Penalty Applied]]</f>
        <v>-5</v>
      </c>
      <c r="X301" s="3"/>
    </row>
    <row r="302" spans="5:24" x14ac:dyDescent="0.3">
      <c r="E302" s="41" t="s">
        <v>160</v>
      </c>
      <c r="F302" s="39" t="s">
        <v>84</v>
      </c>
      <c r="G302" s="40"/>
      <c r="H302" s="40">
        <v>10</v>
      </c>
      <c r="I302" s="40"/>
      <c r="J302" s="40"/>
      <c r="K302" s="40"/>
      <c r="L302" s="40"/>
      <c r="M302" s="40"/>
      <c r="N302" s="40"/>
      <c r="O302" s="40"/>
      <c r="P302" s="40"/>
      <c r="Q302" s="40"/>
      <c r="R302" s="39"/>
      <c r="S302" s="41">
        <f>SUM(Table15[[#This Row],[1]:[12]])</f>
        <v>10</v>
      </c>
      <c r="T302" s="41">
        <f>COUNTIF(G302:R302,"&gt;1")</f>
        <v>1</v>
      </c>
      <c r="U302" s="9" t="s">
        <v>63</v>
      </c>
      <c r="V302" s="43" t="str">
        <f>IF(Table15[[#This Row],[Observed? Y or N]]="N", "-20", "0")</f>
        <v>-20</v>
      </c>
      <c r="W302" s="43">
        <f>Table15[[#This Row],[Total]]+Table15[[#This Row],[Penalty Applied]]</f>
        <v>-10</v>
      </c>
      <c r="X302" s="3"/>
    </row>
    <row r="303" spans="5:24" x14ac:dyDescent="0.3">
      <c r="E303" s="41" t="s">
        <v>178</v>
      </c>
      <c r="F303" s="39"/>
      <c r="G303" s="40"/>
      <c r="H303" s="40"/>
      <c r="I303" s="40">
        <v>9</v>
      </c>
      <c r="J303" s="40"/>
      <c r="K303" s="40"/>
      <c r="L303" s="40"/>
      <c r="M303" s="40"/>
      <c r="N303" s="40"/>
      <c r="O303" s="40"/>
      <c r="P303" s="40"/>
      <c r="Q303" s="40"/>
      <c r="R303" s="39"/>
      <c r="S303" s="41">
        <f>SUM(Table15[[#This Row],[1]:[12]])</f>
        <v>9</v>
      </c>
      <c r="T303" s="41">
        <f>COUNTIF(G303:R303,"&gt;1")</f>
        <v>1</v>
      </c>
      <c r="U303" s="9" t="s">
        <v>63</v>
      </c>
      <c r="V303" s="43" t="str">
        <f>IF(Table15[[#This Row],[Observed? Y or N]]="N", "-20", "0")</f>
        <v>-20</v>
      </c>
      <c r="W303" s="43">
        <f>Table15[[#This Row],[Total]]+Table15[[#This Row],[Penalty Applied]]</f>
        <v>-11</v>
      </c>
      <c r="X303" s="3"/>
    </row>
    <row r="304" spans="5:24" x14ac:dyDescent="0.3">
      <c r="E304" s="41"/>
      <c r="F304" s="39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39"/>
      <c r="S304" s="41">
        <f>SUM(Table15[[#This Row],[1]:[12]])</f>
        <v>0</v>
      </c>
      <c r="T304" s="41">
        <f>COUNTIF(G304:R304,"&gt;1")</f>
        <v>0</v>
      </c>
      <c r="U304" s="9" t="s">
        <v>63</v>
      </c>
      <c r="V304" s="43" t="str">
        <f>IF(Table15[[#This Row],[Observed? Y or N]]="N", "-20", "0")</f>
        <v>-20</v>
      </c>
      <c r="W304" s="43">
        <f>Table15[[#This Row],[Total]]+Table15[[#This Row],[Penalty Applied]]</f>
        <v>-20</v>
      </c>
      <c r="X304" s="3"/>
    </row>
    <row r="305" spans="5:24" x14ac:dyDescent="0.3">
      <c r="E305" s="41"/>
      <c r="F305" s="39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39"/>
      <c r="S305" s="41">
        <f>SUM(Table15[[#This Row],[1]:[12]])</f>
        <v>0</v>
      </c>
      <c r="T305" s="41">
        <f>COUNTIF(G305:R305,"&gt;1")</f>
        <v>0</v>
      </c>
      <c r="U305" s="9" t="s">
        <v>63</v>
      </c>
      <c r="V305" s="43" t="str">
        <f>IF(Table15[[#This Row],[Observed? Y or N]]="N", "-20", "0")</f>
        <v>-20</v>
      </c>
      <c r="W305" s="43">
        <f>Table15[[#This Row],[Total]]+Table15[[#This Row],[Penalty Applied]]</f>
        <v>-20</v>
      </c>
      <c r="X305" s="3"/>
    </row>
    <row r="306" spans="5:24" ht="15" thickBot="1" x14ac:dyDescent="0.35">
      <c r="E306" s="46"/>
      <c r="F306" s="48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8"/>
      <c r="S306" s="4">
        <f>SUM(Table15[[#This Row],[1]:[12]])</f>
        <v>0</v>
      </c>
      <c r="T306" s="4">
        <f>COUNTIF(G306:R306,"&gt;1")</f>
        <v>0</v>
      </c>
      <c r="U306" s="9" t="s">
        <v>63</v>
      </c>
      <c r="V306" s="43" t="str">
        <f>IF(Table15[[#This Row],[Observed? Y or N]]="N", "-20", "0")</f>
        <v>-20</v>
      </c>
      <c r="W306" s="43">
        <f>Table15[[#This Row],[Total]]+Table15[[#This Row],[Penalty Applied]]</f>
        <v>-20</v>
      </c>
      <c r="X306" s="4"/>
    </row>
    <row r="308" spans="5:24" ht="15" thickBot="1" x14ac:dyDescent="0.35"/>
    <row r="309" spans="5:24" ht="154.19999999999999" thickBot="1" x14ac:dyDescent="0.35">
      <c r="E309" s="36" t="s">
        <v>48</v>
      </c>
      <c r="F309" s="36" t="s">
        <v>91</v>
      </c>
      <c r="G309" s="35" t="s">
        <v>65</v>
      </c>
      <c r="H309" s="35" t="s">
        <v>66</v>
      </c>
      <c r="I309" s="35" t="s">
        <v>67</v>
      </c>
      <c r="J309" s="35" t="s">
        <v>68</v>
      </c>
      <c r="K309" s="35" t="s">
        <v>69</v>
      </c>
      <c r="L309" s="35" t="s">
        <v>70</v>
      </c>
      <c r="M309" s="35" t="s">
        <v>71</v>
      </c>
      <c r="N309" s="35" t="s">
        <v>72</v>
      </c>
      <c r="O309" s="35" t="s">
        <v>73</v>
      </c>
      <c r="P309" s="35" t="s">
        <v>74</v>
      </c>
      <c r="Q309" s="35" t="s">
        <v>75</v>
      </c>
      <c r="R309" s="35" t="s">
        <v>76</v>
      </c>
      <c r="S309" s="7" t="s">
        <v>31</v>
      </c>
      <c r="T309" s="7" t="s">
        <v>42</v>
      </c>
      <c r="U309" s="54" t="s">
        <v>61</v>
      </c>
      <c r="V309" s="7" t="s">
        <v>64</v>
      </c>
      <c r="W309" s="32" t="s">
        <v>62</v>
      </c>
      <c r="X309" s="32" t="s">
        <v>15</v>
      </c>
    </row>
    <row r="310" spans="5:24" x14ac:dyDescent="0.3">
      <c r="E310" s="42" t="s">
        <v>185</v>
      </c>
      <c r="F310" s="42" t="s">
        <v>29</v>
      </c>
      <c r="G310" s="40"/>
      <c r="H310" s="40"/>
      <c r="I310" s="40"/>
      <c r="J310" s="40">
        <v>20</v>
      </c>
      <c r="K310" s="40"/>
      <c r="L310" s="40"/>
      <c r="M310" s="40"/>
      <c r="N310" s="40"/>
      <c r="O310" s="40"/>
      <c r="P310" s="40"/>
      <c r="Q310" s="40"/>
      <c r="R310" s="39"/>
      <c r="S310" s="41">
        <f>SUM(Table16[[#This Row],[1]:[12]])</f>
        <v>20</v>
      </c>
      <c r="T310" s="42">
        <f>COUNTIF(G310:R310,"&gt;1")</f>
        <v>1</v>
      </c>
      <c r="U310" s="44" t="s">
        <v>63</v>
      </c>
      <c r="V310" s="44" t="str">
        <f>IF(Table16[[#This Row],[Observed? Y or N]]="N", "-20", "0")</f>
        <v>-20</v>
      </c>
      <c r="W310" s="38">
        <f>Table16[[#This Row],[Total]]+Table16[[#This Row],[Penalty Applied]]</f>
        <v>0</v>
      </c>
      <c r="X310" s="2"/>
    </row>
    <row r="311" spans="5:24" x14ac:dyDescent="0.3">
      <c r="E311" s="41"/>
      <c r="F311" s="41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39"/>
      <c r="S311" s="41">
        <f>SUM(Table16[[#This Row],[1]:[12]])</f>
        <v>0</v>
      </c>
      <c r="T311" s="41">
        <f>COUNTIF(G311:R311,"&gt;1")</f>
        <v>0</v>
      </c>
      <c r="U311" s="43" t="s">
        <v>63</v>
      </c>
      <c r="V311" s="43" t="str">
        <f>IF(Table16[[#This Row],[Observed? Y or N]]="N", "-20", "0")</f>
        <v>-20</v>
      </c>
      <c r="W311" s="38">
        <f>Table16[[#This Row],[Total]]+Table16[[#This Row],[Penalty Applied]]</f>
        <v>-20</v>
      </c>
      <c r="X311" s="3"/>
    </row>
    <row r="312" spans="5:24" ht="15" thickBot="1" x14ac:dyDescent="0.35">
      <c r="E312" s="46"/>
      <c r="F312" s="46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39"/>
      <c r="S312" s="41">
        <f>SUM(Table16[[#This Row],[1]:[12]])</f>
        <v>0</v>
      </c>
      <c r="T312" s="41">
        <f>COUNTIF(G312:R312,"&gt;1")</f>
        <v>0</v>
      </c>
      <c r="U312" s="43" t="s">
        <v>63</v>
      </c>
      <c r="V312" s="43" t="str">
        <f>IF(Table16[[#This Row],[Observed? Y or N]]="N", "-20", "0")</f>
        <v>-20</v>
      </c>
      <c r="W312" s="38">
        <f>Table16[[#This Row],[Total]]+Table16[[#This Row],[Penalty Applied]]</f>
        <v>-20</v>
      </c>
      <c r="X312" s="4"/>
    </row>
  </sheetData>
  <sortState xmlns:xlrd2="http://schemas.microsoft.com/office/spreadsheetml/2017/richdata2" ref="F248:S250">
    <sortCondition descending="1" ref="S248"/>
  </sortState>
  <mergeCells count="3">
    <mergeCell ref="A9:B9"/>
    <mergeCell ref="E2:U5"/>
    <mergeCell ref="R6:U6"/>
  </mergeCells>
  <phoneticPr fontId="5" type="noConversion"/>
  <pageMargins left="0.7" right="0.7" top="0.75" bottom="0.75" header="0.3" footer="0.3"/>
  <pageSetup paperSize="8" scale="78" fitToHeight="0" orientation="portrait" r:id="rId1"/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6A33858-6104-48F5-8D1B-B1EA22AB28A5}">
            <xm:f>NOT(ISERROR(SEARCH("N",U11)))</xm:f>
            <xm:f>"N"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AF261472-92F0-4DCF-A670-4C1F1DBD37B6}">
            <xm:f>NOT(ISERROR(SEARCH("Y",U11)))</xm:f>
            <xm:f>"Y"</xm:f>
            <x14:dxf>
              <fill>
                <patternFill>
                  <bgColor theme="9" tint="0.59996337778862885"/>
                </patternFill>
              </fill>
            </x14:dxf>
          </x14:cfRule>
          <xm:sqref>U11:U14</xm:sqref>
        </x14:conditionalFormatting>
        <x14:conditionalFormatting xmlns:xm="http://schemas.microsoft.com/office/excel/2006/main">
          <x14:cfRule type="containsText" priority="4" operator="containsText" id="{B987EAE4-9BBB-4F54-A200-6CD36D7C7DD3}">
            <xm:f>NOT(ISERROR(SEARCH("N",T18)))</xm:f>
            <xm:f>"N"</xm:f>
            <x14:dxf>
              <fill>
                <patternFill>
                  <bgColor rgb="FFFF0000"/>
                </patternFill>
              </fill>
            </x14:dxf>
          </x14:cfRule>
          <x14:cfRule type="containsText" priority="5" operator="containsText" id="{9CDF0788-6927-4118-8EDD-D57A1AF9B706}">
            <xm:f>NOT(ISERROR(SEARCH("Y",T18)))</xm:f>
            <xm:f>"Y"</xm:f>
            <x14:dxf>
              <fill>
                <patternFill>
                  <bgColor theme="9" tint="0.59996337778862885"/>
                </patternFill>
              </fill>
            </x14:dxf>
          </x14:cfRule>
          <xm:sqref>U18:U33 T35 U37:U51 T52:T53 U55:U82 T83:T84 U86:U106 T107:T108 U110:U130 T131:T132 U134:U164 T165:T166 U168:U194 T195:T196 U198:U214 T215:T217 T227 T233:T234 T240:T241 T245:T246 T264 T285:T286 U288:U306 T307:T308 U310:U312 U243:U244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62EA-73DF-4D9C-83CD-96A93966DA60}">
  <dimension ref="A1:V25"/>
  <sheetViews>
    <sheetView workbookViewId="0">
      <selection activeCell="X7" sqref="X7"/>
    </sheetView>
  </sheetViews>
  <sheetFormatPr defaultRowHeight="14.4" x14ac:dyDescent="0.3"/>
  <sheetData>
    <row r="1" spans="1:22" x14ac:dyDescent="0.3">
      <c r="A1" s="1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7"/>
      <c r="N1" s="27"/>
      <c r="O1" s="16"/>
      <c r="P1" s="17"/>
      <c r="Q1" s="16"/>
    </row>
    <row r="2" spans="1:22" x14ac:dyDescent="0.3">
      <c r="A2" s="20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24"/>
      <c r="O2" s="20"/>
      <c r="P2" s="19"/>
      <c r="Q2" s="20"/>
    </row>
    <row r="3" spans="1:22" x14ac:dyDescent="0.3">
      <c r="A3" s="2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25"/>
      <c r="O3" s="21"/>
      <c r="P3" s="15"/>
      <c r="Q3" s="21"/>
    </row>
    <row r="4" spans="1:22" x14ac:dyDescent="0.3">
      <c r="A4" s="2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  <c r="N4" s="24"/>
      <c r="O4" s="20"/>
      <c r="P4" s="19"/>
      <c r="Q4" s="20"/>
    </row>
    <row r="5" spans="1:22" x14ac:dyDescent="0.3">
      <c r="A5" s="2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24"/>
      <c r="O5" s="21"/>
      <c r="P5" s="15"/>
      <c r="Q5" s="21"/>
    </row>
    <row r="6" spans="1:22" x14ac:dyDescent="0.3">
      <c r="A6" s="2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24"/>
      <c r="O6" s="20"/>
      <c r="P6" s="19"/>
      <c r="Q6" s="20"/>
    </row>
    <row r="7" spans="1:22" x14ac:dyDescent="0.3">
      <c r="A7" s="2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24"/>
      <c r="O7" s="21"/>
      <c r="P7" s="15"/>
      <c r="Q7" s="21"/>
    </row>
    <row r="8" spans="1:22" x14ac:dyDescent="0.3">
      <c r="A8" s="21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25"/>
      <c r="O8" s="20"/>
      <c r="P8" s="19"/>
      <c r="Q8" s="20"/>
      <c r="T8" s="113"/>
      <c r="U8" s="89"/>
      <c r="V8" s="89"/>
    </row>
    <row r="9" spans="1:22" ht="15" thickBot="1" x14ac:dyDescent="0.35">
      <c r="A9" s="21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25"/>
      <c r="O9" s="21"/>
      <c r="P9" s="15"/>
      <c r="Q9" s="21"/>
      <c r="T9" s="114"/>
      <c r="U9" s="90"/>
      <c r="V9" s="90"/>
    </row>
    <row r="10" spans="1:22" ht="15" thickBot="1" x14ac:dyDescent="0.35">
      <c r="A10" s="20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24"/>
      <c r="O10" s="20"/>
      <c r="P10" s="19"/>
      <c r="Q10" s="20"/>
      <c r="T10" s="91"/>
      <c r="U10" s="92"/>
      <c r="V10" s="92"/>
    </row>
    <row r="11" spans="1:22" ht="15" thickBot="1" x14ac:dyDescent="0.35">
      <c r="A11" s="21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5"/>
      <c r="O11" s="21"/>
      <c r="P11" s="15"/>
      <c r="Q11" s="21"/>
      <c r="T11" s="91"/>
      <c r="U11" s="92"/>
      <c r="V11" s="92"/>
    </row>
    <row r="12" spans="1:22" ht="15" thickBot="1" x14ac:dyDescent="0.35">
      <c r="A12" s="20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24"/>
      <c r="O12" s="20"/>
      <c r="P12" s="19"/>
      <c r="Q12" s="20"/>
      <c r="T12" s="91"/>
      <c r="U12" s="93"/>
      <c r="V12" s="93"/>
    </row>
    <row r="13" spans="1:22" ht="15" thickBot="1" x14ac:dyDescent="0.35">
      <c r="A13" s="2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25"/>
      <c r="O13" s="21"/>
      <c r="P13" s="15"/>
      <c r="Q13" s="21"/>
      <c r="T13" s="94"/>
      <c r="U13" s="95"/>
      <c r="V13" s="95"/>
    </row>
    <row r="14" spans="1:22" ht="15" thickTop="1" x14ac:dyDescent="0.3">
      <c r="A14" s="21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25"/>
      <c r="O14" s="20"/>
      <c r="P14" s="19"/>
      <c r="Q14" s="20"/>
    </row>
    <row r="15" spans="1:22" x14ac:dyDescent="0.3">
      <c r="A15" s="21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25"/>
      <c r="O15" s="21"/>
      <c r="P15" s="15"/>
      <c r="Q15" s="21"/>
    </row>
    <row r="16" spans="1:22" x14ac:dyDescent="0.3">
      <c r="A16" s="20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4"/>
      <c r="O16" s="20"/>
      <c r="P16" s="19"/>
      <c r="Q16" s="20"/>
    </row>
    <row r="17" spans="1:17" x14ac:dyDescent="0.3">
      <c r="A17" s="2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25"/>
      <c r="O17" s="21"/>
      <c r="P17" s="15"/>
      <c r="Q17" s="21"/>
    </row>
    <row r="18" spans="1:17" x14ac:dyDescent="0.3">
      <c r="A18" s="2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25"/>
      <c r="O18" s="20"/>
      <c r="P18" s="19"/>
      <c r="Q18" s="20"/>
    </row>
    <row r="19" spans="1:17" ht="15" thickBot="1" x14ac:dyDescent="0.35">
      <c r="A19" s="22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3"/>
      <c r="N19" s="29"/>
      <c r="O19" s="22"/>
      <c r="P19" s="23"/>
      <c r="Q19" s="22"/>
    </row>
    <row r="25" spans="1:17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</sheetData>
  <sortState xmlns:xlrd2="http://schemas.microsoft.com/office/spreadsheetml/2017/richdata2" ref="A1:N19">
    <sortCondition descending="1" ref="N1"/>
  </sortState>
  <mergeCells count="1">
    <mergeCell ref="T8:T9"/>
  </mergeCells>
  <pageMargins left="0.7" right="0.7" top="0.75" bottom="0.75" header="0.3" footer="0.3"/>
  <pageSetup paperSize="2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Seamer</dc:creator>
  <cp:lastModifiedBy>Seamer, Liam</cp:lastModifiedBy>
  <cp:lastPrinted>2022-10-11T09:59:25Z</cp:lastPrinted>
  <dcterms:created xsi:type="dcterms:W3CDTF">2018-08-30T18:12:19Z</dcterms:created>
  <dcterms:modified xsi:type="dcterms:W3CDTF">2025-12-20T12:07:22Z</dcterms:modified>
</cp:coreProperties>
</file>