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am Personal\NKTC\2023\"/>
    </mc:Choice>
  </mc:AlternateContent>
  <xr:revisionPtr revIDLastSave="0" documentId="13_ncr:1_{B0593A1A-D25D-46A2-B28A-E5E9CC3C1098}" xr6:coauthVersionLast="47" xr6:coauthVersionMax="47" xr10:uidLastSave="{00000000-0000-0000-0000-000000000000}"/>
  <workbookProtection workbookAlgorithmName="SHA-512" workbookHashValue="D3qc6yyWxy06531lfcMLbfVR2HEyEBZ+P3BSKfrnLptrh+kbGeS5xnKvakeuUGJl18xEUk2u6uf9z1SMar/tPg==" workbookSaltValue="prGzlgfav3NMyFF3Jt0iww==" workbookSpinCount="100000" lockStructure="1"/>
  <bookViews>
    <workbookView xWindow="-108" yWindow="-108" windowWidth="23256" windowHeight="12576" xr2:uid="{7E478777-A118-4518-A91B-6BD6A7D0138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36" i="1" l="1"/>
  <c r="Q335" i="1"/>
  <c r="U335" i="1" s="1"/>
  <c r="Q336" i="1"/>
  <c r="Q337" i="1"/>
  <c r="U337" i="1" s="1"/>
  <c r="U296" i="1"/>
  <c r="U297" i="1"/>
  <c r="U304" i="1"/>
  <c r="Q166" i="1"/>
  <c r="T166" i="1" s="1"/>
  <c r="R166" i="1"/>
  <c r="U108" i="1"/>
  <c r="U249" i="1"/>
  <c r="U48" i="1"/>
  <c r="U47" i="1"/>
  <c r="Q87" i="1"/>
  <c r="T87" i="1" s="1"/>
  <c r="R87" i="1"/>
  <c r="Q85" i="1"/>
  <c r="T85" i="1" s="1"/>
  <c r="R85" i="1"/>
  <c r="Q79" i="1"/>
  <c r="T79" i="1" s="1"/>
  <c r="R79" i="1"/>
  <c r="Q72" i="1"/>
  <c r="T72" i="1" s="1"/>
  <c r="R72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Q309" i="1"/>
  <c r="U309" i="1" s="1"/>
  <c r="R309" i="1"/>
  <c r="Q308" i="1"/>
  <c r="U308" i="1" s="1"/>
  <c r="R308" i="1"/>
  <c r="Q303" i="1"/>
  <c r="U303" i="1" s="1"/>
  <c r="R303" i="1"/>
  <c r="Q295" i="1"/>
  <c r="U295" i="1" s="1"/>
  <c r="R295" i="1"/>
  <c r="Q238" i="1"/>
  <c r="T238" i="1" s="1"/>
  <c r="R238" i="1"/>
  <c r="Q236" i="1"/>
  <c r="T236" i="1" s="1"/>
  <c r="R236" i="1"/>
  <c r="Q182" i="1"/>
  <c r="T182" i="1" s="1"/>
  <c r="R182" i="1"/>
  <c r="Q178" i="1"/>
  <c r="T178" i="1" s="1"/>
  <c r="R178" i="1"/>
  <c r="Q151" i="1"/>
  <c r="T151" i="1" s="1"/>
  <c r="R151" i="1"/>
  <c r="Q176" i="1"/>
  <c r="T176" i="1" s="1"/>
  <c r="R176" i="1"/>
  <c r="Q163" i="1"/>
  <c r="T163" i="1" s="1"/>
  <c r="R163" i="1"/>
  <c r="Q154" i="1"/>
  <c r="T154" i="1" s="1"/>
  <c r="R154" i="1"/>
  <c r="Q83" i="1"/>
  <c r="T83" i="1" s="1"/>
  <c r="R83" i="1"/>
  <c r="T16" i="1"/>
  <c r="Q251" i="1"/>
  <c r="U251" i="1" s="1"/>
  <c r="R251" i="1"/>
  <c r="Q301" i="1"/>
  <c r="U301" i="1" s="1"/>
  <c r="R301" i="1"/>
  <c r="Q169" i="1"/>
  <c r="T169" i="1" s="1"/>
  <c r="R169" i="1"/>
  <c r="Q150" i="1"/>
  <c r="T150" i="1" s="1"/>
  <c r="R150" i="1"/>
  <c r="Q149" i="1"/>
  <c r="T149" i="1" s="1"/>
  <c r="R149" i="1"/>
  <c r="Q78" i="1"/>
  <c r="T78" i="1" s="1"/>
  <c r="R78" i="1"/>
  <c r="Q80" i="1"/>
  <c r="T80" i="1" s="1"/>
  <c r="R80" i="1"/>
  <c r="T62" i="1"/>
  <c r="T77" i="1"/>
  <c r="Q62" i="1"/>
  <c r="R62" i="1"/>
  <c r="Q77" i="1"/>
  <c r="R77" i="1"/>
  <c r="T76" i="1"/>
  <c r="Q76" i="1"/>
  <c r="R76" i="1"/>
  <c r="T73" i="1"/>
  <c r="Q73" i="1"/>
  <c r="R73" i="1"/>
  <c r="Q307" i="1"/>
  <c r="U307" i="1" s="1"/>
  <c r="R307" i="1"/>
  <c r="Q306" i="1"/>
  <c r="U306" i="1" s="1"/>
  <c r="R306" i="1"/>
  <c r="Q283" i="1"/>
  <c r="S283" i="1" s="1"/>
  <c r="R283" i="1"/>
  <c r="Q304" i="1"/>
  <c r="R304" i="1"/>
  <c r="Q302" i="1"/>
  <c r="U302" i="1" s="1"/>
  <c r="R302" i="1"/>
  <c r="Q298" i="1"/>
  <c r="U298" i="1" s="1"/>
  <c r="R298" i="1"/>
  <c r="Q231" i="1"/>
  <c r="T231" i="1" s="1"/>
  <c r="R231" i="1"/>
  <c r="Q86" i="1"/>
  <c r="T86" i="1" s="1"/>
  <c r="R86" i="1"/>
  <c r="Q67" i="1"/>
  <c r="T67" i="1" s="1"/>
  <c r="Q84" i="1"/>
  <c r="T84" i="1" s="1"/>
  <c r="R67" i="1"/>
  <c r="R84" i="1"/>
  <c r="Q296" i="1"/>
  <c r="R296" i="1"/>
  <c r="Q300" i="1"/>
  <c r="U300" i="1" s="1"/>
  <c r="R300" i="1"/>
  <c r="Q293" i="1"/>
  <c r="U293" i="1" s="1"/>
  <c r="R293" i="1"/>
  <c r="Q31" i="1"/>
  <c r="Q32" i="1"/>
  <c r="Q34" i="1"/>
  <c r="Q30" i="1"/>
  <c r="Q33" i="1"/>
  <c r="Q35" i="1"/>
  <c r="Q36" i="1"/>
  <c r="Q37" i="1"/>
  <c r="Q38" i="1"/>
  <c r="Q39" i="1"/>
  <c r="Q40" i="1"/>
  <c r="Q41" i="1"/>
  <c r="Q42" i="1"/>
  <c r="Q43" i="1"/>
  <c r="R335" i="1"/>
  <c r="R336" i="1"/>
  <c r="R337" i="1"/>
  <c r="T335" i="1"/>
  <c r="T336" i="1"/>
  <c r="T337" i="1"/>
  <c r="Q313" i="1"/>
  <c r="R313" i="1"/>
  <c r="T313" i="1"/>
  <c r="Q314" i="1"/>
  <c r="U314" i="1" s="1"/>
  <c r="R314" i="1"/>
  <c r="T314" i="1"/>
  <c r="Q315" i="1"/>
  <c r="R315" i="1"/>
  <c r="T315" i="1"/>
  <c r="Q320" i="1"/>
  <c r="R320" i="1"/>
  <c r="T320" i="1"/>
  <c r="Q321" i="1"/>
  <c r="U321" i="1" s="1"/>
  <c r="R321" i="1"/>
  <c r="T321" i="1"/>
  <c r="Q322" i="1"/>
  <c r="U322" i="1" s="1"/>
  <c r="R322" i="1"/>
  <c r="T322" i="1"/>
  <c r="Q317" i="1"/>
  <c r="U317" i="1" s="1"/>
  <c r="R317" i="1"/>
  <c r="T317" i="1"/>
  <c r="Q318" i="1"/>
  <c r="U318" i="1" s="1"/>
  <c r="R318" i="1"/>
  <c r="T318" i="1"/>
  <c r="Q323" i="1"/>
  <c r="U323" i="1" s="1"/>
  <c r="R323" i="1"/>
  <c r="T323" i="1"/>
  <c r="Q319" i="1"/>
  <c r="U319" i="1" s="1"/>
  <c r="R319" i="1"/>
  <c r="T319" i="1"/>
  <c r="Q316" i="1"/>
  <c r="U316" i="1" s="1"/>
  <c r="R316" i="1"/>
  <c r="T316" i="1"/>
  <c r="Q324" i="1"/>
  <c r="R324" i="1"/>
  <c r="T324" i="1"/>
  <c r="Q325" i="1"/>
  <c r="U325" i="1" s="1"/>
  <c r="R325" i="1"/>
  <c r="T325" i="1"/>
  <c r="Q326" i="1"/>
  <c r="R326" i="1"/>
  <c r="T326" i="1"/>
  <c r="Q327" i="1"/>
  <c r="U327" i="1" s="1"/>
  <c r="R327" i="1"/>
  <c r="T327" i="1"/>
  <c r="Q328" i="1"/>
  <c r="U328" i="1" s="1"/>
  <c r="R328" i="1"/>
  <c r="T328" i="1"/>
  <c r="Q329" i="1"/>
  <c r="U329" i="1" s="1"/>
  <c r="R329" i="1"/>
  <c r="T329" i="1"/>
  <c r="Q330" i="1"/>
  <c r="U330" i="1" s="1"/>
  <c r="R330" i="1"/>
  <c r="T330" i="1"/>
  <c r="Q331" i="1"/>
  <c r="U331" i="1" s="1"/>
  <c r="R331" i="1"/>
  <c r="T331" i="1"/>
  <c r="Q232" i="1"/>
  <c r="U232" i="1" s="1"/>
  <c r="Q207" i="1"/>
  <c r="T207" i="1" s="1"/>
  <c r="R207" i="1"/>
  <c r="Q185" i="1"/>
  <c r="T185" i="1" s="1"/>
  <c r="R185" i="1"/>
  <c r="Q53" i="1"/>
  <c r="T53" i="1" s="1"/>
  <c r="R53" i="1"/>
  <c r="Q16" i="1"/>
  <c r="R16" i="1"/>
  <c r="Q235" i="1"/>
  <c r="U235" i="1" s="1"/>
  <c r="Q240" i="1"/>
  <c r="Q305" i="1"/>
  <c r="U305" i="1" s="1"/>
  <c r="R305" i="1"/>
  <c r="Q275" i="1"/>
  <c r="U275" i="1" s="1"/>
  <c r="R275" i="1"/>
  <c r="R255" i="1"/>
  <c r="R256" i="1"/>
  <c r="R257" i="1"/>
  <c r="R258" i="1"/>
  <c r="Q254" i="1"/>
  <c r="Q255" i="1"/>
  <c r="U255" i="1" s="1"/>
  <c r="Q256" i="1"/>
  <c r="Q257" i="1"/>
  <c r="Q258" i="1"/>
  <c r="Q221" i="1"/>
  <c r="T221" i="1" s="1"/>
  <c r="R221" i="1"/>
  <c r="Q208" i="1"/>
  <c r="T208" i="1" s="1"/>
  <c r="R208" i="1"/>
  <c r="Q206" i="1"/>
  <c r="T206" i="1" s="1"/>
  <c r="R206" i="1"/>
  <c r="Q201" i="1"/>
  <c r="T201" i="1" s="1"/>
  <c r="R201" i="1"/>
  <c r="Q214" i="1"/>
  <c r="T214" i="1" s="1"/>
  <c r="R214" i="1"/>
  <c r="Q197" i="1"/>
  <c r="T197" i="1" s="1"/>
  <c r="R197" i="1"/>
  <c r="Q96" i="1"/>
  <c r="Q99" i="1"/>
  <c r="Q102" i="1"/>
  <c r="Q101" i="1"/>
  <c r="Q100" i="1"/>
  <c r="U100" i="1" s="1"/>
  <c r="Q97" i="1"/>
  <c r="Q104" i="1"/>
  <c r="R104" i="1"/>
  <c r="T104" i="1"/>
  <c r="Q103" i="1"/>
  <c r="T103" i="1" s="1"/>
  <c r="R103" i="1"/>
  <c r="R102" i="1"/>
  <c r="T102" i="1"/>
  <c r="T101" i="1"/>
  <c r="R101" i="1"/>
  <c r="R100" i="1"/>
  <c r="T100" i="1"/>
  <c r="Q173" i="1"/>
  <c r="T173" i="1" s="1"/>
  <c r="R173" i="1"/>
  <c r="Q156" i="1"/>
  <c r="T156" i="1" s="1"/>
  <c r="R156" i="1"/>
  <c r="Q161" i="1"/>
  <c r="T161" i="1" s="1"/>
  <c r="R161" i="1"/>
  <c r="Q59" i="1"/>
  <c r="T59" i="1" s="1"/>
  <c r="R59" i="1"/>
  <c r="Q56" i="1"/>
  <c r="T56" i="1" s="1"/>
  <c r="R56" i="1"/>
  <c r="T42" i="1"/>
  <c r="T41" i="1"/>
  <c r="T39" i="1"/>
  <c r="Q27" i="1"/>
  <c r="R27" i="1"/>
  <c r="T27" i="1"/>
  <c r="Q23" i="1"/>
  <c r="R23" i="1"/>
  <c r="T23" i="1"/>
  <c r="Q21" i="1"/>
  <c r="R21" i="1"/>
  <c r="T21" i="1"/>
  <c r="Q136" i="1"/>
  <c r="U136" i="1" s="1"/>
  <c r="R136" i="1"/>
  <c r="T136" i="1"/>
  <c r="Q137" i="1"/>
  <c r="R137" i="1"/>
  <c r="T137" i="1"/>
  <c r="Q142" i="1"/>
  <c r="R142" i="1"/>
  <c r="T142" i="1"/>
  <c r="Q138" i="1"/>
  <c r="R138" i="1"/>
  <c r="T138" i="1"/>
  <c r="Q140" i="1"/>
  <c r="R140" i="1"/>
  <c r="T140" i="1"/>
  <c r="Q139" i="1"/>
  <c r="R139" i="1"/>
  <c r="T139" i="1"/>
  <c r="Q152" i="1"/>
  <c r="R152" i="1"/>
  <c r="T152" i="1"/>
  <c r="Q164" i="1"/>
  <c r="R164" i="1"/>
  <c r="T164" i="1"/>
  <c r="Q159" i="1"/>
  <c r="R159" i="1"/>
  <c r="T159" i="1"/>
  <c r="Q171" i="1"/>
  <c r="R171" i="1"/>
  <c r="T171" i="1"/>
  <c r="Q144" i="1"/>
  <c r="R144" i="1"/>
  <c r="T144" i="1"/>
  <c r="Q174" i="1"/>
  <c r="R174" i="1"/>
  <c r="T174" i="1"/>
  <c r="Q147" i="1"/>
  <c r="R147" i="1"/>
  <c r="T147" i="1"/>
  <c r="Q172" i="1"/>
  <c r="R172" i="1"/>
  <c r="T172" i="1"/>
  <c r="Q175" i="1"/>
  <c r="R175" i="1"/>
  <c r="T175" i="1"/>
  <c r="Q158" i="1"/>
  <c r="R158" i="1"/>
  <c r="T158" i="1"/>
  <c r="Q179" i="1"/>
  <c r="R179" i="1"/>
  <c r="T179" i="1"/>
  <c r="Q183" i="1"/>
  <c r="R183" i="1"/>
  <c r="T183" i="1"/>
  <c r="Q146" i="1"/>
  <c r="R146" i="1"/>
  <c r="T146" i="1"/>
  <c r="Q168" i="1"/>
  <c r="R168" i="1"/>
  <c r="T168" i="1"/>
  <c r="Q180" i="1"/>
  <c r="R180" i="1"/>
  <c r="T180" i="1"/>
  <c r="Q184" i="1"/>
  <c r="R184" i="1"/>
  <c r="T184" i="1"/>
  <c r="Q186" i="1"/>
  <c r="R186" i="1"/>
  <c r="T186" i="1"/>
  <c r="Q155" i="1"/>
  <c r="T155" i="1" s="1"/>
  <c r="R155" i="1"/>
  <c r="Q153" i="1"/>
  <c r="T153" i="1" s="1"/>
  <c r="R153" i="1"/>
  <c r="Q148" i="1"/>
  <c r="R148" i="1"/>
  <c r="T148" i="1"/>
  <c r="Q181" i="1"/>
  <c r="U181" i="1" s="1"/>
  <c r="R181" i="1"/>
  <c r="T181" i="1"/>
  <c r="Q145" i="1"/>
  <c r="R145" i="1"/>
  <c r="T145" i="1"/>
  <c r="Q141" i="1"/>
  <c r="R141" i="1"/>
  <c r="T141" i="1"/>
  <c r="Q160" i="1"/>
  <c r="R160" i="1"/>
  <c r="T160" i="1"/>
  <c r="Q143" i="1"/>
  <c r="R143" i="1"/>
  <c r="T143" i="1"/>
  <c r="Q177" i="1"/>
  <c r="R177" i="1"/>
  <c r="T177" i="1"/>
  <c r="Q165" i="1"/>
  <c r="R165" i="1"/>
  <c r="T165" i="1"/>
  <c r="Q157" i="1"/>
  <c r="R157" i="1"/>
  <c r="T157" i="1"/>
  <c r="Q167" i="1"/>
  <c r="U167" i="1" s="1"/>
  <c r="R167" i="1"/>
  <c r="T167" i="1"/>
  <c r="Q162" i="1"/>
  <c r="R162" i="1"/>
  <c r="T162" i="1"/>
  <c r="Q170" i="1"/>
  <c r="R170" i="1"/>
  <c r="T170" i="1"/>
  <c r="Q25" i="1"/>
  <c r="Q26" i="1"/>
  <c r="Q18" i="1"/>
  <c r="Q24" i="1"/>
  <c r="Q22" i="1"/>
  <c r="Q19" i="1"/>
  <c r="Q20" i="1"/>
  <c r="Q15" i="1"/>
  <c r="Q17" i="1"/>
  <c r="Q14" i="1"/>
  <c r="Q11" i="1"/>
  <c r="Q12" i="1"/>
  <c r="Q13" i="1"/>
  <c r="Q217" i="1"/>
  <c r="T217" i="1" s="1"/>
  <c r="R217" i="1"/>
  <c r="Q71" i="1"/>
  <c r="U71" i="1" s="1"/>
  <c r="R71" i="1"/>
  <c r="T71" i="1"/>
  <c r="Q82" i="1"/>
  <c r="R82" i="1"/>
  <c r="T82" i="1"/>
  <c r="T37" i="1"/>
  <c r="T38" i="1"/>
  <c r="R26" i="1"/>
  <c r="T26" i="1"/>
  <c r="R18" i="1"/>
  <c r="T18" i="1"/>
  <c r="R22" i="1"/>
  <c r="T22" i="1"/>
  <c r="R12" i="1"/>
  <c r="R19" i="1"/>
  <c r="R13" i="1"/>
  <c r="R24" i="1"/>
  <c r="R17" i="1"/>
  <c r="R25" i="1"/>
  <c r="R14" i="1"/>
  <c r="R20" i="1"/>
  <c r="R11" i="1"/>
  <c r="T40" i="1"/>
  <c r="Q243" i="1"/>
  <c r="Q274" i="1"/>
  <c r="U274" i="1" s="1"/>
  <c r="R274" i="1"/>
  <c r="R15" i="1"/>
  <c r="T15" i="1"/>
  <c r="Q242" i="1"/>
  <c r="U242" i="1" s="1"/>
  <c r="Q229" i="1"/>
  <c r="Q239" i="1"/>
  <c r="U239" i="1" s="1"/>
  <c r="Q233" i="1"/>
  <c r="Q277" i="1"/>
  <c r="U277" i="1" s="1"/>
  <c r="R277" i="1"/>
  <c r="Q299" i="1"/>
  <c r="U299" i="1" s="1"/>
  <c r="Q292" i="1"/>
  <c r="U292" i="1" s="1"/>
  <c r="R299" i="1"/>
  <c r="R292" i="1"/>
  <c r="R276" i="1"/>
  <c r="R280" i="1"/>
  <c r="R284" i="1"/>
  <c r="R287" i="1"/>
  <c r="R273" i="1"/>
  <c r="R285" i="1"/>
  <c r="R286" i="1"/>
  <c r="R288" i="1"/>
  <c r="R282" i="1"/>
  <c r="R278" i="1"/>
  <c r="R281" i="1"/>
  <c r="Q287" i="1"/>
  <c r="U287" i="1" s="1"/>
  <c r="Q273" i="1"/>
  <c r="U273" i="1" s="1"/>
  <c r="Q285" i="1"/>
  <c r="U285" i="1" s="1"/>
  <c r="Q286" i="1"/>
  <c r="U286" i="1" s="1"/>
  <c r="Q288" i="1"/>
  <c r="U288" i="1" s="1"/>
  <c r="Q282" i="1"/>
  <c r="U282" i="1" s="1"/>
  <c r="Q278" i="1"/>
  <c r="U278" i="1" s="1"/>
  <c r="Q281" i="1"/>
  <c r="U281" i="1" s="1"/>
  <c r="Q284" i="1"/>
  <c r="U284" i="1" s="1"/>
  <c r="Q94" i="1"/>
  <c r="Q98" i="1"/>
  <c r="Q92" i="1"/>
  <c r="U262" i="1"/>
  <c r="U263" i="1"/>
  <c r="U264" i="1"/>
  <c r="U265" i="1"/>
  <c r="Q250" i="1"/>
  <c r="U250" i="1" s="1"/>
  <c r="R297" i="1"/>
  <c r="R291" i="1"/>
  <c r="R294" i="1"/>
  <c r="Q294" i="1"/>
  <c r="U294" i="1" s="1"/>
  <c r="Q291" i="1"/>
  <c r="U291" i="1" s="1"/>
  <c r="Q297" i="1"/>
  <c r="Q280" i="1"/>
  <c r="U280" i="1" s="1"/>
  <c r="R279" i="1"/>
  <c r="Q279" i="1"/>
  <c r="U279" i="1" s="1"/>
  <c r="Q276" i="1"/>
  <c r="U276" i="1" s="1"/>
  <c r="R269" i="1"/>
  <c r="Q269" i="1"/>
  <c r="R265" i="1"/>
  <c r="R264" i="1"/>
  <c r="R263" i="1"/>
  <c r="R262" i="1"/>
  <c r="R252" i="1"/>
  <c r="Q252" i="1"/>
  <c r="U252" i="1" s="1"/>
  <c r="R248" i="1"/>
  <c r="Q248" i="1"/>
  <c r="U248" i="1" s="1"/>
  <c r="R250" i="1"/>
  <c r="R249" i="1"/>
  <c r="Q249" i="1"/>
  <c r="T232" i="1"/>
  <c r="R232" i="1"/>
  <c r="T240" i="1"/>
  <c r="R240" i="1"/>
  <c r="T235" i="1"/>
  <c r="R235" i="1"/>
  <c r="T243" i="1"/>
  <c r="R243" i="1"/>
  <c r="T233" i="1"/>
  <c r="R233" i="1"/>
  <c r="T239" i="1"/>
  <c r="R239" i="1"/>
  <c r="T229" i="1"/>
  <c r="R229" i="1"/>
  <c r="T242" i="1"/>
  <c r="R242" i="1"/>
  <c r="T241" i="1"/>
  <c r="R241" i="1"/>
  <c r="Q241" i="1"/>
  <c r="U241" i="1" s="1"/>
  <c r="T228" i="1"/>
  <c r="R228" i="1"/>
  <c r="Q228" i="1"/>
  <c r="T230" i="1"/>
  <c r="R230" i="1"/>
  <c r="Q230" i="1"/>
  <c r="T227" i="1"/>
  <c r="R227" i="1"/>
  <c r="Q227" i="1"/>
  <c r="U227" i="1" s="1"/>
  <c r="T237" i="1"/>
  <c r="R237" i="1"/>
  <c r="Q237" i="1"/>
  <c r="U237" i="1" s="1"/>
  <c r="T234" i="1"/>
  <c r="R234" i="1"/>
  <c r="Q234" i="1"/>
  <c r="T215" i="1"/>
  <c r="R215" i="1"/>
  <c r="Q215" i="1"/>
  <c r="T205" i="1"/>
  <c r="R205" i="1"/>
  <c r="Q205" i="1"/>
  <c r="T212" i="1"/>
  <c r="R212" i="1"/>
  <c r="Q212" i="1"/>
  <c r="T202" i="1"/>
  <c r="R202" i="1"/>
  <c r="Q202" i="1"/>
  <c r="T211" i="1"/>
  <c r="R211" i="1"/>
  <c r="Q211" i="1"/>
  <c r="T216" i="1"/>
  <c r="R216" i="1"/>
  <c r="Q216" i="1"/>
  <c r="T219" i="1"/>
  <c r="R219" i="1"/>
  <c r="Q219" i="1"/>
  <c r="T210" i="1"/>
  <c r="R210" i="1"/>
  <c r="Q210" i="1"/>
  <c r="T194" i="1"/>
  <c r="R194" i="1"/>
  <c r="Q194" i="1"/>
  <c r="T193" i="1"/>
  <c r="R193" i="1"/>
  <c r="Q193" i="1"/>
  <c r="T223" i="1"/>
  <c r="R223" i="1"/>
  <c r="Q223" i="1"/>
  <c r="T222" i="1"/>
  <c r="R222" i="1"/>
  <c r="Q222" i="1"/>
  <c r="T218" i="1"/>
  <c r="R218" i="1"/>
  <c r="Q218" i="1"/>
  <c r="T200" i="1"/>
  <c r="R200" i="1"/>
  <c r="Q200" i="1"/>
  <c r="T191" i="1"/>
  <c r="R191" i="1"/>
  <c r="Q191" i="1"/>
  <c r="T203" i="1"/>
  <c r="R203" i="1"/>
  <c r="Q203" i="1"/>
  <c r="T190" i="1"/>
  <c r="R190" i="1"/>
  <c r="Q190" i="1"/>
  <c r="T213" i="1"/>
  <c r="R213" i="1"/>
  <c r="Q213" i="1"/>
  <c r="T220" i="1"/>
  <c r="R220" i="1"/>
  <c r="Q220" i="1"/>
  <c r="T199" i="1"/>
  <c r="R199" i="1"/>
  <c r="Q199" i="1"/>
  <c r="T192" i="1"/>
  <c r="R192" i="1"/>
  <c r="Q192" i="1"/>
  <c r="T195" i="1"/>
  <c r="R195" i="1"/>
  <c r="Q195" i="1"/>
  <c r="T198" i="1"/>
  <c r="R198" i="1"/>
  <c r="Q198" i="1"/>
  <c r="T209" i="1"/>
  <c r="R209" i="1"/>
  <c r="Q209" i="1"/>
  <c r="T204" i="1"/>
  <c r="R204" i="1"/>
  <c r="Q204" i="1"/>
  <c r="T196" i="1"/>
  <c r="R196" i="1"/>
  <c r="Q196" i="1"/>
  <c r="T129" i="1"/>
  <c r="R129" i="1"/>
  <c r="Q129" i="1"/>
  <c r="T128" i="1"/>
  <c r="R128" i="1"/>
  <c r="Q128" i="1"/>
  <c r="T113" i="1"/>
  <c r="R113" i="1"/>
  <c r="Q113" i="1"/>
  <c r="T118" i="1"/>
  <c r="R118" i="1"/>
  <c r="Q118" i="1"/>
  <c r="T120" i="1"/>
  <c r="R120" i="1"/>
  <c r="Q120" i="1"/>
  <c r="T119" i="1"/>
  <c r="R119" i="1"/>
  <c r="Q119" i="1"/>
  <c r="T121" i="1"/>
  <c r="R121" i="1"/>
  <c r="Q121" i="1"/>
  <c r="U121" i="1" s="1"/>
  <c r="T131" i="1"/>
  <c r="U131" i="1" s="1"/>
  <c r="R131" i="1"/>
  <c r="Q131" i="1"/>
  <c r="T125" i="1"/>
  <c r="R125" i="1"/>
  <c r="Q125" i="1"/>
  <c r="T117" i="1"/>
  <c r="R117" i="1"/>
  <c r="Q117" i="1"/>
  <c r="T123" i="1"/>
  <c r="R123" i="1"/>
  <c r="Q123" i="1"/>
  <c r="T132" i="1"/>
  <c r="R132" i="1"/>
  <c r="Q132" i="1"/>
  <c r="T127" i="1"/>
  <c r="R127" i="1"/>
  <c r="Q127" i="1"/>
  <c r="T116" i="1"/>
  <c r="R116" i="1"/>
  <c r="Q116" i="1"/>
  <c r="T110" i="1"/>
  <c r="R110" i="1"/>
  <c r="Q110" i="1"/>
  <c r="T111" i="1"/>
  <c r="R111" i="1"/>
  <c r="Q111" i="1"/>
  <c r="T124" i="1"/>
  <c r="R124" i="1"/>
  <c r="Q124" i="1"/>
  <c r="T114" i="1"/>
  <c r="R114" i="1"/>
  <c r="Q114" i="1"/>
  <c r="T130" i="1"/>
  <c r="R130" i="1"/>
  <c r="Q130" i="1"/>
  <c r="T115" i="1"/>
  <c r="R115" i="1"/>
  <c r="Q115" i="1"/>
  <c r="T126" i="1"/>
  <c r="R126" i="1"/>
  <c r="Q126" i="1"/>
  <c r="T122" i="1"/>
  <c r="R122" i="1"/>
  <c r="Q122" i="1"/>
  <c r="T112" i="1"/>
  <c r="R112" i="1"/>
  <c r="Q112" i="1"/>
  <c r="U112" i="1" s="1"/>
  <c r="T109" i="1"/>
  <c r="R109" i="1"/>
  <c r="Q109" i="1"/>
  <c r="T108" i="1"/>
  <c r="R108" i="1"/>
  <c r="Q108" i="1"/>
  <c r="T97" i="1"/>
  <c r="R97" i="1"/>
  <c r="T99" i="1"/>
  <c r="R99" i="1"/>
  <c r="T96" i="1"/>
  <c r="R96" i="1"/>
  <c r="T94" i="1"/>
  <c r="R94" i="1"/>
  <c r="T98" i="1"/>
  <c r="R98" i="1"/>
  <c r="T92" i="1"/>
  <c r="R92" i="1"/>
  <c r="T95" i="1"/>
  <c r="R95" i="1"/>
  <c r="Q95" i="1"/>
  <c r="T91" i="1"/>
  <c r="R91" i="1"/>
  <c r="Q91" i="1"/>
  <c r="T93" i="1"/>
  <c r="R93" i="1"/>
  <c r="Q93" i="1"/>
  <c r="T61" i="1"/>
  <c r="R61" i="1"/>
  <c r="Q61" i="1"/>
  <c r="T75" i="1"/>
  <c r="R75" i="1"/>
  <c r="Q75" i="1"/>
  <c r="T68" i="1"/>
  <c r="R68" i="1"/>
  <c r="Q68" i="1"/>
  <c r="T60" i="1"/>
  <c r="R60" i="1"/>
  <c r="Q60" i="1"/>
  <c r="T50" i="1"/>
  <c r="R50" i="1"/>
  <c r="Q50" i="1"/>
  <c r="T65" i="1"/>
  <c r="R65" i="1"/>
  <c r="Q65" i="1"/>
  <c r="U65" i="1" s="1"/>
  <c r="T55" i="1"/>
  <c r="R55" i="1"/>
  <c r="Q55" i="1"/>
  <c r="T81" i="1"/>
  <c r="R81" i="1"/>
  <c r="Q81" i="1"/>
  <c r="T49" i="1"/>
  <c r="R49" i="1"/>
  <c r="Q49" i="1"/>
  <c r="T57" i="1"/>
  <c r="R57" i="1"/>
  <c r="Q57" i="1"/>
  <c r="T52" i="1"/>
  <c r="R52" i="1"/>
  <c r="Q52" i="1"/>
  <c r="T48" i="1"/>
  <c r="R48" i="1"/>
  <c r="Q48" i="1"/>
  <c r="T51" i="1"/>
  <c r="R51" i="1"/>
  <c r="Q51" i="1"/>
  <c r="T69" i="1"/>
  <c r="R69" i="1"/>
  <c r="Q69" i="1"/>
  <c r="U69" i="1" s="1"/>
  <c r="T63" i="1"/>
  <c r="R63" i="1"/>
  <c r="Q63" i="1"/>
  <c r="T64" i="1"/>
  <c r="R64" i="1"/>
  <c r="Q64" i="1"/>
  <c r="T70" i="1"/>
  <c r="R70" i="1"/>
  <c r="Q70" i="1"/>
  <c r="T66" i="1"/>
  <c r="R66" i="1"/>
  <c r="Q66" i="1"/>
  <c r="T74" i="1"/>
  <c r="R74" i="1"/>
  <c r="Q74" i="1"/>
  <c r="T47" i="1"/>
  <c r="R47" i="1"/>
  <c r="Q47" i="1"/>
  <c r="T58" i="1"/>
  <c r="R58" i="1"/>
  <c r="Q58" i="1"/>
  <c r="T54" i="1"/>
  <c r="R54" i="1"/>
  <c r="Q54" i="1"/>
  <c r="U54" i="1" s="1"/>
  <c r="T43" i="1"/>
  <c r="T30" i="1"/>
  <c r="T32" i="1"/>
  <c r="T33" i="1"/>
  <c r="T36" i="1"/>
  <c r="T35" i="1"/>
  <c r="T34" i="1"/>
  <c r="T31" i="1"/>
  <c r="T12" i="1"/>
  <c r="T11" i="1"/>
  <c r="T20" i="1"/>
  <c r="T14" i="1"/>
  <c r="T25" i="1"/>
  <c r="T17" i="1"/>
  <c r="T24" i="1"/>
  <c r="T13" i="1"/>
  <c r="T19" i="1"/>
  <c r="U122" i="1" l="1"/>
  <c r="U116" i="1"/>
  <c r="U119" i="1"/>
  <c r="U110" i="1"/>
  <c r="U204" i="1"/>
  <c r="U190" i="1"/>
  <c r="U194" i="1"/>
  <c r="U215" i="1"/>
  <c r="U209" i="1"/>
  <c r="U210" i="1"/>
  <c r="U283" i="1"/>
  <c r="U228" i="1"/>
  <c r="U233" i="1"/>
  <c r="U243" i="1"/>
  <c r="U229" i="1"/>
  <c r="U238" i="1"/>
  <c r="U234" i="1"/>
  <c r="U231" i="1"/>
  <c r="U230" i="1"/>
  <c r="U240" i="1"/>
  <c r="U236" i="1"/>
  <c r="U313" i="1"/>
  <c r="U324" i="1"/>
  <c r="U320" i="1"/>
  <c r="U326" i="1"/>
  <c r="U315" i="1"/>
  <c r="U174" i="1"/>
  <c r="U104" i="1"/>
  <c r="U70" i="1"/>
  <c r="U49" i="1"/>
  <c r="U61" i="1"/>
  <c r="U124" i="1"/>
  <c r="U125" i="1"/>
  <c r="U223" i="1"/>
  <c r="U157" i="1"/>
  <c r="U148" i="1"/>
  <c r="U168" i="1"/>
  <c r="U138" i="1"/>
  <c r="U64" i="1"/>
  <c r="U81" i="1"/>
  <c r="U196" i="1"/>
  <c r="U213" i="1"/>
  <c r="U193" i="1"/>
  <c r="U205" i="1"/>
  <c r="U144" i="1"/>
  <c r="U77" i="1"/>
  <c r="U58" i="1"/>
  <c r="U51" i="1"/>
  <c r="U50" i="1"/>
  <c r="U126" i="1"/>
  <c r="U127" i="1"/>
  <c r="U120" i="1"/>
  <c r="U198" i="1"/>
  <c r="U191" i="1"/>
  <c r="U219" i="1"/>
  <c r="U160" i="1"/>
  <c r="U183" i="1"/>
  <c r="U158" i="1"/>
  <c r="U171" i="1"/>
  <c r="U164" i="1"/>
  <c r="U66" i="1"/>
  <c r="U57" i="1"/>
  <c r="U75" i="1"/>
  <c r="U114" i="1"/>
  <c r="U117" i="1"/>
  <c r="U128" i="1"/>
  <c r="U199" i="1"/>
  <c r="U222" i="1"/>
  <c r="U202" i="1"/>
  <c r="U180" i="1"/>
  <c r="U147" i="1"/>
  <c r="U140" i="1"/>
  <c r="U16" i="1"/>
  <c r="U73" i="1"/>
  <c r="U62" i="1"/>
  <c r="U195" i="1"/>
  <c r="U200" i="1"/>
  <c r="U216" i="1"/>
  <c r="U220" i="1"/>
  <c r="U212" i="1"/>
  <c r="U203" i="1"/>
  <c r="U192" i="1"/>
  <c r="U218" i="1"/>
  <c r="U211" i="1"/>
  <c r="U201" i="1"/>
  <c r="U221" i="1"/>
  <c r="U214" i="1"/>
  <c r="U197" i="1"/>
  <c r="U208" i="1"/>
  <c r="U207" i="1"/>
  <c r="U217" i="1"/>
  <c r="U206" i="1"/>
  <c r="U177" i="1"/>
  <c r="U137" i="1"/>
  <c r="U182" i="1"/>
  <c r="U170" i="1"/>
  <c r="U141" i="1"/>
  <c r="U186" i="1"/>
  <c r="U175" i="1"/>
  <c r="U152" i="1"/>
  <c r="U151" i="1"/>
  <c r="U179" i="1"/>
  <c r="U159" i="1"/>
  <c r="U150" i="1"/>
  <c r="U156" i="1"/>
  <c r="U143" i="1"/>
  <c r="U162" i="1"/>
  <c r="U145" i="1"/>
  <c r="U184" i="1"/>
  <c r="U172" i="1"/>
  <c r="U139" i="1"/>
  <c r="U176" i="1"/>
  <c r="U165" i="1"/>
  <c r="U146" i="1"/>
  <c r="U142" i="1"/>
  <c r="U149" i="1"/>
  <c r="U173" i="1"/>
  <c r="U166" i="1"/>
  <c r="U169" i="1"/>
  <c r="U163" i="1"/>
  <c r="U155" i="1"/>
  <c r="U153" i="1"/>
  <c r="U154" i="1"/>
  <c r="U161" i="1"/>
  <c r="U185" i="1"/>
  <c r="U178" i="1"/>
  <c r="U74" i="1"/>
  <c r="U52" i="1"/>
  <c r="U68" i="1"/>
  <c r="U130" i="1"/>
  <c r="U21" i="1"/>
  <c r="U93" i="1"/>
  <c r="U97" i="1"/>
  <c r="U101" i="1"/>
  <c r="U102" i="1"/>
  <c r="U115" i="1"/>
  <c r="U132" i="1"/>
  <c r="U118" i="1"/>
  <c r="U23" i="1"/>
  <c r="U99" i="1"/>
  <c r="U96" i="1"/>
  <c r="U76" i="1"/>
  <c r="U129" i="1"/>
  <c r="U123" i="1"/>
  <c r="U113" i="1"/>
  <c r="U109" i="1"/>
  <c r="U111" i="1"/>
  <c r="U103" i="1"/>
  <c r="U91" i="1"/>
  <c r="U92" i="1"/>
  <c r="U95" i="1"/>
  <c r="U98" i="1"/>
  <c r="U94" i="1"/>
  <c r="U82" i="1"/>
  <c r="U80" i="1"/>
  <c r="U59" i="1"/>
  <c r="U87" i="1"/>
  <c r="U63" i="1"/>
  <c r="U55" i="1"/>
  <c r="U60" i="1"/>
  <c r="U84" i="1"/>
  <c r="U83" i="1"/>
  <c r="U78" i="1"/>
  <c r="U72" i="1"/>
  <c r="U79" i="1"/>
  <c r="U56" i="1"/>
  <c r="U53" i="1"/>
  <c r="U86" i="1"/>
  <c r="U67" i="1"/>
  <c r="U85" i="1"/>
  <c r="U42" i="1"/>
  <c r="U27" i="1"/>
  <c r="U26" i="1"/>
  <c r="U40" i="1"/>
  <c r="U34" i="1"/>
  <c r="U39" i="1"/>
  <c r="U12" i="1"/>
  <c r="U24" i="1"/>
  <c r="U38" i="1"/>
  <c r="U11" i="1"/>
  <c r="U18" i="1"/>
  <c r="U37" i="1"/>
  <c r="U17" i="1"/>
  <c r="U25" i="1"/>
  <c r="U20" i="1"/>
  <c r="U19" i="1"/>
  <c r="U13" i="1"/>
  <c r="U22" i="1"/>
  <c r="U32" i="1"/>
  <c r="U31" i="1"/>
  <c r="U14" i="1"/>
  <c r="U36" i="1"/>
  <c r="U43" i="1"/>
  <c r="U35" i="1"/>
  <c r="U15" i="1"/>
  <c r="U33" i="1"/>
  <c r="U41" i="1"/>
  <c r="U30" i="1"/>
</calcChain>
</file>

<file path=xl/sharedStrings.xml><?xml version="1.0" encoding="utf-8"?>
<sst xmlns="http://schemas.openxmlformats.org/spreadsheetml/2006/main" count="832" uniqueCount="278">
  <si>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</si>
  <si>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</si>
  <si>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</si>
  <si>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</si>
  <si>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</si>
  <si>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</si>
  <si>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</si>
  <si>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</si>
  <si>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</si>
  <si>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</si>
  <si>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</si>
  <si>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</si>
  <si>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</si>
  <si>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</si>
  <si>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</si>
  <si>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Position</t>
  </si>
  <si>
    <t>Points</t>
  </si>
  <si>
    <t>Rider/Class</t>
  </si>
  <si>
    <t>Expert</t>
  </si>
  <si>
    <t>January</t>
  </si>
  <si>
    <t>February</t>
  </si>
  <si>
    <t>May</t>
  </si>
  <si>
    <t>June</t>
  </si>
  <si>
    <t>July</t>
  </si>
  <si>
    <t>September</t>
  </si>
  <si>
    <t>October</t>
  </si>
  <si>
    <t>November</t>
  </si>
  <si>
    <t>December</t>
  </si>
  <si>
    <t>Bexleyheath</t>
  </si>
  <si>
    <t>Owls</t>
  </si>
  <si>
    <t>Erith</t>
  </si>
  <si>
    <t>Kent+Sussex</t>
  </si>
  <si>
    <t>Sidcup</t>
  </si>
  <si>
    <t>Gravesend</t>
  </si>
  <si>
    <t>Total</t>
  </si>
  <si>
    <t>Expert B</t>
  </si>
  <si>
    <t>Intermediate</t>
  </si>
  <si>
    <t>Inter B</t>
  </si>
  <si>
    <t>Over 40 Inter</t>
  </si>
  <si>
    <t>Novice</t>
  </si>
  <si>
    <t>Over 50 Novice</t>
  </si>
  <si>
    <t>Youth Inter</t>
  </si>
  <si>
    <t>Youth Novice</t>
  </si>
  <si>
    <t>Youth Sportsman</t>
  </si>
  <si>
    <t>Double 5</t>
  </si>
  <si>
    <t>Number of point scoring rounds</t>
  </si>
  <si>
    <t>Published by Liam Seamer</t>
  </si>
  <si>
    <t>Scoring System</t>
  </si>
  <si>
    <t>Youth Expert</t>
  </si>
  <si>
    <t>Sportsperson Route</t>
  </si>
  <si>
    <t>P67/Twinshock Red</t>
  </si>
  <si>
    <t>P67/Twinshock Blue</t>
  </si>
  <si>
    <t>Youth Expert B</t>
  </si>
  <si>
    <t>March</t>
  </si>
  <si>
    <t>April</t>
  </si>
  <si>
    <t>Youth Inter B</t>
  </si>
  <si>
    <t>Wickham</t>
  </si>
  <si>
    <t>August</t>
  </si>
  <si>
    <t>Gary Roberts</t>
  </si>
  <si>
    <t>Jodie Duffill</t>
  </si>
  <si>
    <t>Michael Hollyer</t>
  </si>
  <si>
    <t>Jack Taylor</t>
  </si>
  <si>
    <t>James Coker</t>
  </si>
  <si>
    <t>Paul Robey</t>
  </si>
  <si>
    <t>Jordan Duffill</t>
  </si>
  <si>
    <t>Andrew Pierce</t>
  </si>
  <si>
    <t>Marc Taylor</t>
  </si>
  <si>
    <t>John Bird</t>
  </si>
  <si>
    <t>Derek Baker</t>
  </si>
  <si>
    <t>Luke Wilkinson</t>
  </si>
  <si>
    <t>Jamie Clarke</t>
  </si>
  <si>
    <t>Greg Harris</t>
  </si>
  <si>
    <t>Alan Downs</t>
  </si>
  <si>
    <t>Nigel Franklin</t>
  </si>
  <si>
    <t>Nicola Clarke</t>
  </si>
  <si>
    <t>George Chilman</t>
  </si>
  <si>
    <t>Joshua Griffin</t>
  </si>
  <si>
    <t>James Brown</t>
  </si>
  <si>
    <t>John Dudley</t>
  </si>
  <si>
    <t>Ken Cross</t>
  </si>
  <si>
    <t>Simon Baxter</t>
  </si>
  <si>
    <t>Lee Brocklehurst</t>
  </si>
  <si>
    <t>Liam Seamer</t>
  </si>
  <si>
    <t>Mark Robinson</t>
  </si>
  <si>
    <t>Thomas Norris</t>
  </si>
  <si>
    <t>Ian Coulter</t>
  </si>
  <si>
    <t>Leigh Norris</t>
  </si>
  <si>
    <t>Robert Snelgrove</t>
  </si>
  <si>
    <t>Richard Gaines</t>
  </si>
  <si>
    <t>Ian Macdonald</t>
  </si>
  <si>
    <t>Alan Coulter</t>
  </si>
  <si>
    <t>Neil Spencer</t>
  </si>
  <si>
    <t>Kevin Gleadow</t>
  </si>
  <si>
    <t>Jayden Atkins</t>
  </si>
  <si>
    <t>Hector Kemp</t>
  </si>
  <si>
    <t>Willow Kemp</t>
  </si>
  <si>
    <t>Ian Pape</t>
  </si>
  <si>
    <t>Alec Nelson</t>
  </si>
  <si>
    <t>Dennis Fleet</t>
  </si>
  <si>
    <t>Observed? Y or N</t>
  </si>
  <si>
    <t>Best 8 Rounds including penalty</t>
  </si>
  <si>
    <t>N</t>
  </si>
  <si>
    <t>Y</t>
  </si>
  <si>
    <t>Penalty Applied</t>
  </si>
  <si>
    <t>Aaron Seamer</t>
  </si>
  <si>
    <t>Chris Dark</t>
  </si>
  <si>
    <t>James Brooker</t>
  </si>
  <si>
    <t>Andrew Warwicker</t>
  </si>
  <si>
    <t>Robert Smith</t>
  </si>
  <si>
    <t>David Brooker</t>
  </si>
  <si>
    <t>Alex Minney</t>
  </si>
  <si>
    <t>Chris Horton</t>
  </si>
  <si>
    <t>Graham Bayliss</t>
  </si>
  <si>
    <t>Tristan Phipps</t>
  </si>
  <si>
    <t>Robert Rout</t>
  </si>
  <si>
    <t>Monte Bryant</t>
  </si>
  <si>
    <t>Jason Arnold</t>
  </si>
  <si>
    <t>Lee Powell</t>
  </si>
  <si>
    <t>Adam Marshall</t>
  </si>
  <si>
    <t>Paul Warwicker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</si>
  <si>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</si>
  <si>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</si>
  <si>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</si>
  <si>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</si>
  <si>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</si>
  <si>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</si>
  <si>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</si>
  <si>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</si>
  <si>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</si>
  <si>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</si>
  <si>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</si>
  <si>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</si>
  <si>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Tom Kemp</t>
  </si>
  <si>
    <t>Shaun Wallis</t>
  </si>
  <si>
    <t>Kurt Gigney</t>
  </si>
  <si>
    <t>Paul Rootes</t>
  </si>
  <si>
    <t>Paul Baseby</t>
  </si>
  <si>
    <t>Alan Clarke</t>
  </si>
  <si>
    <t>Martin Stevens</t>
  </si>
  <si>
    <t>Katie Butcher</t>
  </si>
  <si>
    <t>Dean Heathfield</t>
  </si>
  <si>
    <t>Alex Davies</t>
  </si>
  <si>
    <t>Neil Houckham</t>
  </si>
  <si>
    <t>Max Whorlow</t>
  </si>
  <si>
    <t>Joe Butcher</t>
  </si>
  <si>
    <t>David Kent</t>
  </si>
  <si>
    <t>Douglas Norris</t>
  </si>
  <si>
    <t>Jonathan Andress</t>
  </si>
  <si>
    <t>Phillip Stewart</t>
  </si>
  <si>
    <t>David Little</t>
  </si>
  <si>
    <t>David Griffiths</t>
  </si>
  <si>
    <t>Harry Whorlow</t>
  </si>
  <si>
    <t>James Bryant</t>
  </si>
  <si>
    <t>Allan Lown</t>
  </si>
  <si>
    <t>Andrew Randall</t>
  </si>
  <si>
    <t>Gareth Claire</t>
  </si>
  <si>
    <t>Celeste Phipps</t>
  </si>
  <si>
    <t>Samual Kent</t>
  </si>
  <si>
    <t>Rowan Dean</t>
  </si>
  <si>
    <t>Lilly Wright</t>
  </si>
  <si>
    <t>Oliver Wakeman</t>
  </si>
  <si>
    <t>Alfie Scott</t>
  </si>
  <si>
    <t>Charlie Gigney</t>
  </si>
  <si>
    <t>Mark baker</t>
  </si>
  <si>
    <t>George Hann</t>
  </si>
  <si>
    <t>Russell hart</t>
  </si>
  <si>
    <t>Edward Mowat</t>
  </si>
  <si>
    <t>Frank Puttock</t>
  </si>
  <si>
    <t>Darren Mowat</t>
  </si>
  <si>
    <t>Matthew Han</t>
  </si>
  <si>
    <t>Kayden James Hart</t>
  </si>
  <si>
    <t>Oliver Hann</t>
  </si>
  <si>
    <t>Jake Dobson</t>
  </si>
  <si>
    <t>Frankie Ely</t>
  </si>
  <si>
    <t>Thomas Bartrum</t>
  </si>
  <si>
    <t>Andrew Ely</t>
  </si>
  <si>
    <t>Luke White</t>
  </si>
  <si>
    <t>Max Isard</t>
  </si>
  <si>
    <t>Grant McKenzie</t>
  </si>
  <si>
    <t>John kane</t>
  </si>
  <si>
    <t>Neil Wakeman</t>
  </si>
  <si>
    <t>Kenneth Baxter</t>
  </si>
  <si>
    <t>Phillip Howard</t>
  </si>
  <si>
    <t>Gerald Gill</t>
  </si>
  <si>
    <t>Antony Booth</t>
  </si>
  <si>
    <t>Dennis Wakemen</t>
  </si>
  <si>
    <t>Issabelle Cornell</t>
  </si>
  <si>
    <t>Ryland Sharman</t>
  </si>
  <si>
    <t>Brynn Matton</t>
  </si>
  <si>
    <t>David Mears</t>
  </si>
  <si>
    <t>Chris Still</t>
  </si>
  <si>
    <t>Daniel Thompson</t>
  </si>
  <si>
    <t>Steve Higgins</t>
  </si>
  <si>
    <t>Stuart Mears</t>
  </si>
  <si>
    <t>James Thompson</t>
  </si>
  <si>
    <t>Douglas Mummery</t>
  </si>
  <si>
    <t>Graham Knowler</t>
  </si>
  <si>
    <t>David Strank</t>
  </si>
  <si>
    <t>Rylan Sharrane</t>
  </si>
  <si>
    <t>Nicky Dowland</t>
  </si>
  <si>
    <t>Scott Sloane</t>
  </si>
  <si>
    <t>Andrew Adams</t>
  </si>
  <si>
    <t>Russell Hart</t>
  </si>
  <si>
    <t>Paul Hurry</t>
  </si>
  <si>
    <t>Oliver Keam</t>
  </si>
  <si>
    <t>Robbie Whorlow</t>
  </si>
  <si>
    <t>Dave Burroughs</t>
  </si>
  <si>
    <t>James Open</t>
  </si>
  <si>
    <t>David Beale</t>
  </si>
  <si>
    <t>Gerald Brooks</t>
  </si>
  <si>
    <t>Simon Faulkner</t>
  </si>
  <si>
    <t>2023 NKTC Aggregate</t>
  </si>
  <si>
    <t>Mark Reason</t>
  </si>
  <si>
    <t>Barham</t>
  </si>
  <si>
    <t>Ashford</t>
  </si>
  <si>
    <t>Tenterden</t>
  </si>
  <si>
    <t>Sittingbourne</t>
  </si>
  <si>
    <t>Jordan Bailey</t>
  </si>
  <si>
    <t>Brian Thomas</t>
  </si>
  <si>
    <t>Gregg Harris</t>
  </si>
  <si>
    <t>Cononr Heathfield</t>
  </si>
  <si>
    <t>Jason Lucking</t>
  </si>
  <si>
    <t>Michael Smith</t>
  </si>
  <si>
    <t>Corrine Watkins</t>
  </si>
  <si>
    <t>Grant Mckenzie</t>
  </si>
  <si>
    <t>Dave Plumb</t>
  </si>
  <si>
    <t>Paul Chapman</t>
  </si>
  <si>
    <t>Chris Exall</t>
  </si>
  <si>
    <t>Dave Blanchard</t>
  </si>
  <si>
    <t>Fletcher Ely</t>
  </si>
  <si>
    <t>Amelia Monday</t>
  </si>
  <si>
    <t>Sonny Noble</t>
  </si>
  <si>
    <t>Frankie Smith</t>
  </si>
  <si>
    <t>Enzo Allfrey</t>
  </si>
  <si>
    <t>Kayden-James Hart</t>
  </si>
  <si>
    <t>y</t>
  </si>
  <si>
    <t>Emma Thompson</t>
  </si>
  <si>
    <t>Dan Merron</t>
  </si>
  <si>
    <t>Reggie Norris</t>
  </si>
  <si>
    <t>Max Merron</t>
  </si>
  <si>
    <t>Mason Meadows</t>
  </si>
  <si>
    <t>Stephen Mannerings</t>
  </si>
  <si>
    <t>Andy Pierce</t>
  </si>
  <si>
    <t>Kevin Macaulay</t>
  </si>
  <si>
    <t>Fred Ward</t>
  </si>
  <si>
    <t>Harley Stephens</t>
  </si>
  <si>
    <t>Adrian Gilby</t>
  </si>
  <si>
    <t>Nigel Frankling</t>
  </si>
  <si>
    <t>Nicole Doughty</t>
  </si>
  <si>
    <t>Rowan Stewart</t>
  </si>
  <si>
    <t>Oscar Peach</t>
  </si>
  <si>
    <t>Gavin Cooper</t>
  </si>
  <si>
    <t>Oliver Cleverne</t>
  </si>
  <si>
    <t>Tony Dobbs</t>
  </si>
  <si>
    <t>Sean Cuckow</t>
  </si>
  <si>
    <t>Robert Head</t>
  </si>
  <si>
    <t>Jake Cuckow</t>
  </si>
  <si>
    <t>Jonathan Sturdy</t>
  </si>
  <si>
    <t>Richard Johnson</t>
  </si>
  <si>
    <t>Jason Clifford</t>
  </si>
  <si>
    <t>Paul Cuckow</t>
  </si>
  <si>
    <t>Roy Beatty</t>
  </si>
  <si>
    <t>David Hobbs</t>
  </si>
  <si>
    <t>Steve Mannerings</t>
  </si>
  <si>
    <t>Simon Bird</t>
  </si>
  <si>
    <t>Daniel Burton</t>
  </si>
  <si>
    <t>Flynn Joyce</t>
  </si>
  <si>
    <t>Joe Munday</t>
  </si>
  <si>
    <t>Ian Gibbins</t>
  </si>
  <si>
    <t>Max Robinson</t>
  </si>
  <si>
    <t>Willow</t>
  </si>
  <si>
    <t>Ethan Munday</t>
  </si>
  <si>
    <t>Grant Martin</t>
  </si>
  <si>
    <t>Marcus Wildman</t>
  </si>
  <si>
    <t>Anthony White</t>
  </si>
  <si>
    <t>Danny Daniels</t>
  </si>
  <si>
    <t>Derrie Daniels</t>
  </si>
  <si>
    <t>Richard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</si>
</sst>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Eras Bold ITC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2" borderId="1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textRotation="90"/>
    </xf>
    <xf numFmtId="0" fontId="0" fillId="0" borderId="7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3" borderId="7" xfId="0" applyFill="1" applyBorder="1" applyAlignment="1">
      <alignment textRotation="90"/>
    </xf>
    <xf numFmtId="0" fontId="0" fillId="3" borderId="13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0" borderId="12" xfId="0" applyBorder="1"/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1" fillId="2" borderId="4" xfId="0" applyFont="1" applyFill="1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5" xfId="0" applyFill="1" applyBorder="1"/>
    <xf numFmtId="0" fontId="0" fillId="4" borderId="16" xfId="0" applyFill="1" applyBorder="1"/>
    <xf numFmtId="0" fontId="0" fillId="4" borderId="19" xfId="0" applyFill="1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4" borderId="25" xfId="0" applyFill="1" applyBorder="1"/>
    <xf numFmtId="0" fontId="0" fillId="0" borderId="25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6" xfId="0" applyBorder="1"/>
    <xf numFmtId="0" fontId="0" fillId="4" borderId="0" xfId="0" applyFill="1"/>
    <xf numFmtId="0" fontId="0" fillId="3" borderId="6" xfId="0" applyFill="1" applyBorder="1" applyAlignment="1">
      <alignment textRotation="90"/>
    </xf>
    <xf numFmtId="0" fontId="0" fillId="0" borderId="6" xfId="0" applyBorder="1" applyAlignment="1">
      <alignment textRotation="90"/>
    </xf>
    <xf numFmtId="0" fontId="4" fillId="0" borderId="2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3" xfId="0" applyBorder="1"/>
    <xf numFmtId="0" fontId="1" fillId="0" borderId="4" xfId="0" applyFont="1" applyBorder="1"/>
    <xf numFmtId="0" fontId="0" fillId="0" borderId="3" xfId="0" applyBorder="1"/>
    <xf numFmtId="0" fontId="0" fillId="5" borderId="0" xfId="0" applyFill="1"/>
    <xf numFmtId="0" fontId="6" fillId="0" borderId="12" xfId="0" applyFont="1" applyBorder="1"/>
    <xf numFmtId="0" fontId="6" fillId="0" borderId="0" xfId="0" applyFont="1"/>
    <xf numFmtId="0" fontId="6" fillId="0" borderId="6" xfId="0" applyFont="1" applyBorder="1"/>
    <xf numFmtId="0" fontId="6" fillId="0" borderId="5" xfId="0" applyFont="1" applyBorder="1"/>
    <xf numFmtId="0" fontId="0" fillId="5" borderId="6" xfId="0" applyFill="1" applyBorder="1"/>
    <xf numFmtId="0" fontId="0" fillId="5" borderId="5" xfId="0" applyFill="1" applyBorder="1"/>
    <xf numFmtId="0" fontId="0" fillId="5" borderId="7" xfId="0" applyFill="1" applyBorder="1"/>
    <xf numFmtId="0" fontId="6" fillId="0" borderId="11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10" xfId="0" applyFont="1" applyBorder="1"/>
    <xf numFmtId="0" fontId="0" fillId="5" borderId="12" xfId="0" applyFill="1" applyBorder="1"/>
    <xf numFmtId="0" fontId="0" fillId="0" borderId="0" xfId="0" applyBorder="1"/>
    <xf numFmtId="0" fontId="0" fillId="0" borderId="6" xfId="0" applyNumberFormat="1" applyFill="1" applyBorder="1"/>
    <xf numFmtId="0" fontId="0" fillId="0" borderId="12" xfId="0" applyFill="1" applyBorder="1"/>
    <xf numFmtId="0" fontId="0" fillId="0" borderId="0" xfId="0" applyFill="1"/>
    <xf numFmtId="0" fontId="0" fillId="0" borderId="0" xfId="0" applyNumberFormat="1" applyBorder="1"/>
    <xf numFmtId="0" fontId="0" fillId="0" borderId="0" xfId="0" applyNumberFormat="1"/>
    <xf numFmtId="0" fontId="0" fillId="0" borderId="6" xfId="0" applyNumberFormat="1" applyBorder="1"/>
    <xf numFmtId="0" fontId="6" fillId="0" borderId="14" xfId="0" applyFont="1" applyBorder="1"/>
    <xf numFmtId="0" fontId="6" fillId="0" borderId="9" xfId="0" applyFont="1" applyBorder="1"/>
    <xf numFmtId="0" fontId="6" fillId="0" borderId="6" xfId="0" applyNumberFormat="1" applyFont="1" applyFill="1" applyBorder="1"/>
    <xf numFmtId="0" fontId="6" fillId="0" borderId="12" xfId="0" applyFont="1" applyFill="1" applyBorder="1"/>
    <xf numFmtId="0" fontId="6" fillId="0" borderId="0" xfId="0" applyFont="1" applyFill="1"/>
    <xf numFmtId="0" fontId="6" fillId="0" borderId="11" xfId="0" applyNumberFormat="1" applyFont="1" applyFill="1" applyBorder="1"/>
    <xf numFmtId="0" fontId="0" fillId="0" borderId="12" xfId="0" applyNumberFormat="1" applyFill="1" applyBorder="1"/>
    <xf numFmtId="0" fontId="0" fillId="5" borderId="6" xfId="0" applyNumberFormat="1" applyFill="1" applyBorder="1"/>
    <xf numFmtId="0" fontId="0" fillId="0" borderId="0" xfId="0" applyNumberFormat="1" applyFill="1"/>
    <xf numFmtId="0" fontId="0" fillId="0" borderId="6" xfId="0" applyFill="1" applyBorder="1"/>
    <xf numFmtId="0" fontId="6" fillId="0" borderId="7" xfId="0" applyFont="1" applyFill="1" applyBorder="1"/>
    <xf numFmtId="0" fontId="6" fillId="0" borderId="6" xfId="0" applyFont="1" applyFill="1" applyBorder="1"/>
    <xf numFmtId="0" fontId="6" fillId="0" borderId="0" xfId="0" applyFont="1" applyBorder="1"/>
    <xf numFmtId="0" fontId="6" fillId="0" borderId="2" xfId="0" applyFont="1" applyFill="1" applyBorder="1"/>
    <xf numFmtId="0" fontId="6" fillId="0" borderId="10" xfId="0" applyFont="1" applyFill="1" applyBorder="1"/>
    <xf numFmtId="0" fontId="0" fillId="5" borderId="7" xfId="0" applyNumberFormat="1" applyFill="1" applyBorder="1"/>
    <xf numFmtId="0" fontId="7" fillId="0" borderId="9" xfId="0" applyFont="1" applyBorder="1"/>
    <xf numFmtId="0" fontId="7" fillId="0" borderId="0" xfId="0" applyFont="1"/>
    <xf numFmtId="0" fontId="7" fillId="0" borderId="12" xfId="0" applyFont="1" applyBorder="1"/>
    <xf numFmtId="0" fontId="7" fillId="0" borderId="5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Fill="1" applyBorder="1"/>
    <xf numFmtId="0" fontId="7" fillId="0" borderId="0" xfId="0" applyFont="1" applyFill="1"/>
    <xf numFmtId="0" fontId="7" fillId="0" borderId="11" xfId="0" applyNumberFormat="1" applyFont="1" applyFill="1" applyBorder="1"/>
    <xf numFmtId="0" fontId="7" fillId="0" borderId="6" xfId="0" applyNumberFormat="1" applyFont="1" applyFill="1" applyBorder="1"/>
    <xf numFmtId="0" fontId="0" fillId="0" borderId="5" xfId="0" applyFill="1" applyBorder="1"/>
    <xf numFmtId="0" fontId="7" fillId="0" borderId="14" xfId="0" applyFont="1" applyBorder="1"/>
    <xf numFmtId="0" fontId="7" fillId="0" borderId="0" xfId="0" applyFont="1" applyBorder="1"/>
    <xf numFmtId="0" fontId="0" fillId="6" borderId="1" xfId="0" applyFill="1" applyBorder="1" applyAlignment="1">
      <alignment textRotation="90"/>
    </xf>
    <xf numFmtId="0" fontId="0" fillId="6" borderId="6" xfId="0" applyFill="1" applyBorder="1" applyAlignment="1">
      <alignment textRotation="90"/>
    </xf>
    <xf numFmtId="0" fontId="0" fillId="0" borderId="11" xfId="0" applyFill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1" xfId="0" applyNumberFormat="1" applyFill="1" applyBorder="1"/>
    <xf numFmtId="0" fontId="7" fillId="0" borderId="6" xfId="0" applyFont="1" applyFill="1" applyBorder="1"/>
    <xf numFmtId="0" fontId="0" fillId="5" borderId="0" xfId="0" applyNumberFormat="1" applyFill="1"/>
    <xf numFmtId="0" fontId="0" fillId="5" borderId="12" xfId="0" applyNumberFormat="1" applyFill="1" applyBorder="1"/>
    <xf numFmtId="0" fontId="7" fillId="0" borderId="12" xfId="0" applyNumberFormat="1" applyFont="1" applyFill="1" applyBorder="1"/>
    <xf numFmtId="0" fontId="6" fillId="0" borderId="0" xfId="0" applyFont="1" applyFill="1" applyBorder="1"/>
    <xf numFmtId="0" fontId="0" fillId="7" borderId="1" xfId="0" applyFill="1" applyBorder="1" applyAlignment="1">
      <alignment textRotation="90"/>
    </xf>
    <xf numFmtId="0" fontId="1" fillId="7" borderId="4" xfId="0" applyFont="1" applyFill="1" applyBorder="1"/>
    <xf numFmtId="0" fontId="0" fillId="7" borderId="13" xfId="0" applyFill="1" applyBorder="1" applyAlignment="1">
      <alignment horizontal="center"/>
    </xf>
    <xf numFmtId="0" fontId="7" fillId="0" borderId="8" xfId="0" applyFont="1" applyBorder="1"/>
    <xf numFmtId="0" fontId="0" fillId="0" borderId="9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38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rgb="FFFF0000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rgb="FFFF0000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rgb="FFFF0000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B87BF-4FCF-4B58-B380-26829C579A6B}" name="Table1" displayName="Table1" ref="D10:V27" headerRowDxfId="385" dataDxfId="384" tableBorderDxfId="383">
  <autoFilter ref="D10:V27" xr:uid="{111B87BF-4FCF-4B58-B380-26829C579A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11:V27">
    <sortCondition descending="1" ref="U11:U27"/>
  </sortState>
  <tableColumns count="19">
    <tableColumn id="1" xr3:uid="{E9C305B5-08AE-4AEB-A0D1-790741AD6C83}" name="Expert" totalsRowLabel="Total" dataDxfId="382" totalsRowDxfId="381"/>
    <tableColumn id="2" xr3:uid="{22CEBFE2-DDD0-479F-B98E-772F6E364E25}" name="1" dataDxfId="380" totalsRowDxfId="379"/>
    <tableColumn id="3" xr3:uid="{F7235FFC-694A-4C07-80AC-DE53A49F1F8D}" name="2" dataDxfId="378" totalsRowDxfId="377"/>
    <tableColumn id="4" xr3:uid="{56D22852-7EEE-4C41-BB1B-687F032D87DD}" name="3" dataDxfId="376" totalsRowDxfId="375"/>
    <tableColumn id="5" xr3:uid="{2463C2F6-F591-48C4-B77F-C6570BFE24D0}" name="4" dataDxfId="374" totalsRowDxfId="373"/>
    <tableColumn id="6" xr3:uid="{05C84317-0774-43D6-BB5B-D74F9FB410B7}" name="5" dataDxfId="372" totalsRowDxfId="371"/>
    <tableColumn id="7" xr3:uid="{8833EDD4-0CEC-42FC-A7B2-FABDF446AFBA}" name="6" dataDxfId="370" totalsRowDxfId="369"/>
    <tableColumn id="8" xr3:uid="{A94F609B-23DD-4B79-92C7-F0C6BDD423B7}" name="7" dataDxfId="368" totalsRowDxfId="367"/>
    <tableColumn id="9" xr3:uid="{53671E7B-C39C-4276-86BE-44697AF1FD89}" name="8" dataDxfId="366" totalsRowDxfId="365"/>
    <tableColumn id="10" xr3:uid="{57D2B475-FF23-4020-920E-21EC4515A04E}" name="9" dataDxfId="364" totalsRowDxfId="363"/>
    <tableColumn id="11" xr3:uid="{A8BE424D-FDF1-4CDD-9415-356866423485}" name="10" dataDxfId="362" totalsRowDxfId="361"/>
    <tableColumn id="12" xr3:uid="{4910178E-51DC-441E-B9F4-DBC57899C6AC}" name="11" dataDxfId="360" totalsRowDxfId="359"/>
    <tableColumn id="13" xr3:uid="{027941FB-8C95-40CA-8E01-1F32E5FFB479}" name="12" dataDxfId="358" totalsRowDxfId="357"/>
    <tableColumn id="14" xr3:uid="{0B2FB98B-90E3-438D-8694-3A9D9D6A148C}" name="Total" dataDxfId="356" totalsRowDxfId="355">
      <calculatedColumnFormula>SUM(Table1[[#This Row],[1]:[12]])</calculatedColumnFormula>
    </tableColumn>
    <tableColumn id="15" xr3:uid="{05000E9D-0ABD-4F74-9236-D57CB998696D}" name="Number of point scoring rounds" dataDxfId="354" totalsRowDxfId="353">
      <calculatedColumnFormula>COUNTIF(E11:P11,"&gt;1")</calculatedColumnFormula>
    </tableColumn>
    <tableColumn id="16" xr3:uid="{26458221-87EA-4762-BD8D-32CA1EA740F0}" name="Observed? Y or N" dataDxfId="352" totalsRowDxfId="351"/>
    <tableColumn id="17" xr3:uid="{4001F6B1-364E-4817-A724-7CB52D426489}" name="Penalty Applied" totalsRowFunction="count" dataDxfId="350" totalsRowDxfId="349">
      <calculatedColumnFormula>IF(Table1[[#This Row],[Observed? Y or N]]="N", "-20", "0")</calculatedColumnFormula>
    </tableColumn>
    <tableColumn id="18" xr3:uid="{BF2D3F39-4823-4D7E-8178-C4BAA97562F8}" name="Best 8 Rounds including penalty" dataDxfId="348" totalsRowDxfId="347">
      <calculatedColumnFormula>Table1[[#This Row],[Total]]+Table1[[#This Row],[Penalty Applied]]</calculatedColumnFormula>
    </tableColumn>
    <tableColumn id="19" xr3:uid="{8F339912-2E7C-4B90-B04A-85581401357D}" name="Position" dataDxfId="346" totalsRowDxfId="3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BC7ABCF-8089-4115-94E3-3B0B2C18DFF2}" name="Table11" displayName="Table11" ref="D261:V265" totalsRowShown="0" headerRowDxfId="169" tableBorderDxfId="168">
  <autoFilter ref="D261:V265" xr:uid="{ABC7ABCF-8089-4115-94E3-3B0B2C18DF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1C9AC0DB-BFA3-46A9-8F46-2A4943A0A640}" name="Youth Expert" dataDxfId="167"/>
    <tableColumn id="2" xr3:uid="{0C988B77-EBDF-40FC-A5E7-2F09F15496FC}" name="1" dataDxfId="166"/>
    <tableColumn id="3" xr3:uid="{195B8462-F1BB-4333-909B-264402BFAF00}" name="2" dataDxfId="165"/>
    <tableColumn id="4" xr3:uid="{B549ADDD-8E5C-47AE-9CC5-0EEE17A95C5A}" name="3" dataDxfId="164"/>
    <tableColumn id="5" xr3:uid="{9832C2ED-3293-4B57-B007-5D88D462EC01}" name="4" dataDxfId="163"/>
    <tableColumn id="6" xr3:uid="{0818DC46-2F64-4F33-ACD3-28B1DC18CDBC}" name="5" dataDxfId="162"/>
    <tableColumn id="7" xr3:uid="{406C706F-4B21-484C-94CA-759A696CBC16}" name="6" dataDxfId="161"/>
    <tableColumn id="8" xr3:uid="{78AE1D3D-705C-4BFB-BD7C-A0E049185CED}" name="7" dataDxfId="160"/>
    <tableColumn id="9" xr3:uid="{F1551919-733F-47E7-9492-E3816688090F}" name="8" dataDxfId="159"/>
    <tableColumn id="10" xr3:uid="{9773F347-04C2-4927-A811-74FD1215198C}" name="9" dataDxfId="158"/>
    <tableColumn id="11" xr3:uid="{71AA3EAC-0B33-404F-B8F2-A8C986F29999}" name="10" dataDxfId="157"/>
    <tableColumn id="12" xr3:uid="{540685BC-5848-40B7-A9F1-572C19D10A13}" name="11" dataDxfId="156"/>
    <tableColumn id="13" xr3:uid="{718E5F16-90F8-4ED4-9CDA-3A431BE5991A}" name="12" dataDxfId="155"/>
    <tableColumn id="14" xr3:uid="{C400C2C4-B960-409D-BC1B-730186658A5C}" name="Total" dataDxfId="154"/>
    <tableColumn id="15" xr3:uid="{B2B2E321-8DDE-4051-A42F-432F6F78B1E0}" name="Number of point scoring rounds" dataDxfId="153">
      <calculatedColumnFormula>COUNTIF(E262:P262,"&gt;1")</calculatedColumnFormula>
    </tableColumn>
    <tableColumn id="16" xr3:uid="{5D7B8529-99EB-41D8-9221-630DC29A1943}" name="Observed? Y or N" dataDxfId="152"/>
    <tableColumn id="17" xr3:uid="{165FB0C2-235D-4583-9671-66C632211FBD}" name="Penalty Applied" dataDxfId="151"/>
    <tableColumn id="18" xr3:uid="{5F78A2D8-35B9-4D67-B860-9D9243D17353}" name="Best 8 Rounds including penalty" dataDxfId="150">
      <calculatedColumnFormula>Table11[[#This Row],[Total]]</calculatedColumnFormula>
    </tableColumn>
    <tableColumn id="19" xr3:uid="{8C818462-6665-428D-B5B5-336C8E613F24}" name="Position" dataDxfId="14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113705-293F-48B7-AC97-A62605B09AB2}" name="Table12" displayName="Table12" ref="D268:T269" headerRowCount="0" totalsRowShown="0" headerRowDxfId="148" tableBorderDxfId="147">
  <tableColumns count="17">
    <tableColumn id="1" xr3:uid="{D38F644B-7233-49C4-AB86-AC51722A3337}" name="Column1" headerRowDxfId="146"/>
    <tableColumn id="2" xr3:uid="{C895DD47-DB7F-4CE6-8969-93716FE7AE70}" name="Column2" headerRowDxfId="145" dataDxfId="144"/>
    <tableColumn id="3" xr3:uid="{8A226464-A2D6-4064-B697-58B8E96BC8C0}" name="Column3" headerRowDxfId="143" dataDxfId="142"/>
    <tableColumn id="4" xr3:uid="{045E8A83-602B-4761-9F6D-56ACCD292AA9}" name="Column4" headerRowDxfId="141" dataDxfId="140"/>
    <tableColumn id="5" xr3:uid="{57C0884C-8F99-42FE-AA28-3B703A3CEC3C}" name="Column5" headerRowDxfId="139" dataDxfId="138"/>
    <tableColumn id="6" xr3:uid="{A260A447-CB5C-4550-8149-8257517C004C}" name="Column6" headerRowDxfId="137" dataDxfId="136"/>
    <tableColumn id="7" xr3:uid="{8BA742C4-9E50-490E-88F8-D3C51B32BF27}" name="Column7" headerRowDxfId="135" dataDxfId="134"/>
    <tableColumn id="8" xr3:uid="{57AC25BC-9888-4FCD-85E2-FBAE8446D16E}" name="Column8" headerRowDxfId="133" dataDxfId="132"/>
    <tableColumn id="9" xr3:uid="{4287ED04-6CEF-45A1-8FC9-992436710AE7}" name="Column9" headerRowDxfId="131" dataDxfId="130"/>
    <tableColumn id="10" xr3:uid="{F60C7D75-81AB-4269-BB3B-25E1D0BC15C7}" name="Column10" headerRowDxfId="129" dataDxfId="128"/>
    <tableColumn id="11" xr3:uid="{305B2B25-B14E-4D28-8D16-BE55005EBC04}" name="Column11" headerRowDxfId="127" dataDxfId="126"/>
    <tableColumn id="12" xr3:uid="{5731BDCC-C408-4BE2-B91C-4A34F3E0504A}" name="Column12" headerRowDxfId="125" dataDxfId="124"/>
    <tableColumn id="13" xr3:uid="{5E3841E6-60F4-4AC9-8D92-91AF3E93716C}" name="Column13" headerRowDxfId="123" dataDxfId="122"/>
    <tableColumn id="14" xr3:uid="{1F164E09-9D2C-4FF4-A98C-05A70BCB4782}" name="Column14" headerRowDxfId="121">
      <calculatedColumnFormula>SUM(E268:P268)</calculatedColumnFormula>
    </tableColumn>
    <tableColumn id="15" xr3:uid="{601FB169-E7F8-403B-9939-5173D018BE8E}" name="Column15" headerRowDxfId="120">
      <calculatedColumnFormula>COUNTIF(E268:P268,"&gt;1")</calculatedColumnFormula>
    </tableColumn>
    <tableColumn id="16" xr3:uid="{2D4AD102-E012-46AF-B1B8-7E1A12EE6595}" name="Column16" headerRowDxfId="119"/>
    <tableColumn id="17" xr3:uid="{6D9A26DE-DE72-450E-BF84-69026EA29E8A}" name="Column17" headerRowDxfId="11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3EF2212-B074-4FA8-9909-872DFC584780}" name="Table13" displayName="Table13" ref="D272:V288" totalsRowShown="0" headerRowDxfId="117" tableBorderDxfId="116">
  <autoFilter ref="D272:V288" xr:uid="{43EF2212-B074-4FA8-9909-872DFC5847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273:V288">
    <sortCondition descending="1" ref="U273:U288"/>
  </sortState>
  <tableColumns count="19">
    <tableColumn id="1" xr3:uid="{F5F699D6-5107-4465-AE72-5475161A91FB}" name="Youth Novice"/>
    <tableColumn id="2" xr3:uid="{0A89CDC4-C6A3-4F71-A159-71B5E047DB5C}" name="1" dataDxfId="115"/>
    <tableColumn id="3" xr3:uid="{318FD510-79F3-465A-A0BB-0E48F767853B}" name="2" dataDxfId="114"/>
    <tableColumn id="4" xr3:uid="{34B2B2EC-2770-4CEB-93B9-3B02D9C752EE}" name="3" dataDxfId="113"/>
    <tableColumn id="5" xr3:uid="{8B97A0B6-66FB-4921-8BDF-0AE85DD5E728}" name="4" dataDxfId="112"/>
    <tableColumn id="6" xr3:uid="{F1323DB0-4E95-483A-BB0A-7301951F9ECE}" name="5" dataDxfId="111"/>
    <tableColumn id="7" xr3:uid="{676A34A8-DF99-44E0-8709-8B00EAFD17DA}" name="6" dataDxfId="110"/>
    <tableColumn id="8" xr3:uid="{DDA16CB2-5709-427C-B11A-C7D946CC398D}" name="7" dataDxfId="109"/>
    <tableColumn id="9" xr3:uid="{0A0AAB88-63D0-4C53-B6D2-51BAD209F8D1}" name="8" dataDxfId="108"/>
    <tableColumn id="10" xr3:uid="{AE549C39-A6CD-4912-A210-C9783E23B1E4}" name="9" dataDxfId="107"/>
    <tableColumn id="11" xr3:uid="{D53101DD-0886-4551-9323-77AA323807BF}" name="10" dataDxfId="106"/>
    <tableColumn id="12" xr3:uid="{820C76E7-D9DE-4C3C-AB89-46E39D7058CB}" name="11" dataDxfId="105"/>
    <tableColumn id="13" xr3:uid="{4CD25287-0AEA-4D6F-86E1-65C2A95AEC36}" name="12" dataDxfId="104"/>
    <tableColumn id="14" xr3:uid="{81EF4444-696D-45A7-A3B7-B600250E6713}" name="Total" dataDxfId="103">
      <calculatedColumnFormula>SUM(E273:P273)</calculatedColumnFormula>
    </tableColumn>
    <tableColumn id="15" xr3:uid="{97CCF9D0-6673-4FBB-8017-C096A89AF822}" name="Number of point scoring rounds">
      <calculatedColumnFormula>COUNTIF(E273:P273,"&gt;1")</calculatedColumnFormula>
    </tableColumn>
    <tableColumn id="16" xr3:uid="{8F06DC0D-075B-4E35-B142-A057DCD66DC1}" name="Observed? Y or N" dataDxfId="102">
      <calculatedColumnFormula>Table13[[#This Row],[Total]]</calculatedColumnFormula>
    </tableColumn>
    <tableColumn id="17" xr3:uid="{5926BD8C-DDCB-4EF4-818F-183A6C204607}" name="Penalty Applied"/>
    <tableColumn id="18" xr3:uid="{469CDB54-D21C-4469-8943-ECC07E321564}" name="Best 8 Rounds including penalty" dataDxfId="101">
      <calculatedColumnFormula>Table13[[#This Row],[Total]]</calculatedColumnFormula>
    </tableColumn>
    <tableColumn id="19" xr3:uid="{0310D515-3F51-484E-A632-3F1DC00A19B1}" name="Position" dataDxfId="10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BB8509-4ADE-48E3-8A5B-B52BFC3D3344}" name="Table14" displayName="Table14" ref="D290:V309" totalsRowShown="0" headerRowDxfId="99" tableBorderDxfId="98">
  <autoFilter ref="D290:V309" xr:uid="{22BB8509-4ADE-48E3-8A5B-B52BFC3D33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291:V309">
    <sortCondition descending="1" ref="Q291:Q309"/>
  </sortState>
  <tableColumns count="19">
    <tableColumn id="1" xr3:uid="{2F0A7C73-CB74-4962-92F7-0DF978AEEDEA}" name="Youth Sportsman"/>
    <tableColumn id="2" xr3:uid="{CFB3C4D8-1891-4EEF-AB3D-C3F270D77EFC}" name="1" dataDxfId="97"/>
    <tableColumn id="3" xr3:uid="{B6693B25-EFB8-49F1-8AD5-8DA70198FE00}" name="2" dataDxfId="96"/>
    <tableColumn id="4" xr3:uid="{61A129AC-7478-4BC5-9465-3C2B07AB96E1}" name="3" dataDxfId="95"/>
    <tableColumn id="5" xr3:uid="{423A82A5-3AB5-4A33-8630-1C6E09B1F7F7}" name="4" dataDxfId="94"/>
    <tableColumn id="6" xr3:uid="{6B7AFC6E-625E-45BA-B499-43B787D0B105}" name="5" dataDxfId="93"/>
    <tableColumn id="7" xr3:uid="{F2E2808F-F21D-4958-AAEF-5586E92910D8}" name="6" dataDxfId="92"/>
    <tableColumn id="8" xr3:uid="{1B7D308D-60F8-4632-AEF5-4A0779BD9EF6}" name="7" dataDxfId="91"/>
    <tableColumn id="9" xr3:uid="{480CD663-ECCB-4540-A50F-63D586C8B015}" name="8" dataDxfId="90"/>
    <tableColumn id="10" xr3:uid="{F24B11B9-1D1D-4B11-8711-782871EBFE7E}" name="9" dataDxfId="89"/>
    <tableColumn id="11" xr3:uid="{71CEDA02-C60D-49CC-8CF0-140D94C1DCDD}" name="10" dataDxfId="88"/>
    <tableColumn id="12" xr3:uid="{7233BA35-A39E-4E40-9EA4-10950E481512}" name="11" dataDxfId="87"/>
    <tableColumn id="13" xr3:uid="{6EAFD82B-7B8C-4D1C-BAD5-34E0BA69D242}" name="12" dataDxfId="86"/>
    <tableColumn id="14" xr3:uid="{5B73CBC8-6DDE-4394-8AA2-9430032B882A}" name="Total" dataDxfId="85">
      <calculatedColumnFormula>SUM(Table14[[#This Row],[1]:[12]])</calculatedColumnFormula>
    </tableColumn>
    <tableColumn id="15" xr3:uid="{DFE5A6EA-8F4A-403F-9298-5C4D74F5B4F5}" name="Number of point scoring rounds" dataDxfId="84">
      <calculatedColumnFormula>COUNTIF(E291:P291,"&gt;1")</calculatedColumnFormula>
    </tableColumn>
    <tableColumn id="16" xr3:uid="{BA4F6F2A-EB28-4CC1-83FD-0B839659BB03}" name="Observed? Y or N"/>
    <tableColumn id="17" xr3:uid="{F72F650E-91F0-4EBC-A4D3-92BE1D452069}" name="Penalty Applied"/>
    <tableColumn id="18" xr3:uid="{05B49A5B-98B3-4BF6-B046-9A9E8E532E95}" name="Best 8 Rounds including penalty" dataDxfId="83">
      <calculatedColumnFormula>Table14[[#This Row],[Total]]</calculatedColumnFormula>
    </tableColumn>
    <tableColumn id="19" xr3:uid="{FE51CE50-5DD3-413E-9D7C-31132762F94D}" name="Position" dataDxfId="8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992CB30-F0E7-4699-9CDA-CF26DD2B6DE5}" name="Table15" displayName="Table15" ref="D312:V331" totalsRowShown="0" headerRowDxfId="81" dataDxfId="80" tableBorderDxfId="79">
  <autoFilter ref="D312:V331" xr:uid="{2992CB30-F0E7-4699-9CDA-CF26DD2B6D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313:V331">
    <sortCondition descending="1" ref="U313:U331"/>
  </sortState>
  <tableColumns count="19">
    <tableColumn id="1" xr3:uid="{13393BE1-56A8-4C1E-B88B-DD1C6A064A84}" name="P67/Twinshock Red" dataDxfId="78"/>
    <tableColumn id="2" xr3:uid="{21612C6A-E920-44CE-AF0F-A634FAA17A91}" name="1" dataDxfId="77"/>
    <tableColumn id="3" xr3:uid="{87EB7B6C-B6E2-47C9-8542-C84F36396950}" name="2" dataDxfId="76"/>
    <tableColumn id="4" xr3:uid="{B40F5398-14A8-4C54-A276-758CA0279022}" name="3" dataDxfId="75"/>
    <tableColumn id="5" xr3:uid="{A92B3580-2BC9-4F23-8156-67D90638EEEC}" name="4" dataDxfId="74"/>
    <tableColumn id="6" xr3:uid="{492339DC-E85E-45D6-A084-06932B54D24C}" name="5" dataDxfId="73"/>
    <tableColumn id="7" xr3:uid="{4727758E-73AF-403D-8DB0-8E02AFEE6FF1}" name="6" dataDxfId="72"/>
    <tableColumn id="8" xr3:uid="{C85C423C-44A1-426F-813C-EC95F848F00E}" name="7" dataDxfId="71"/>
    <tableColumn id="9" xr3:uid="{C960ACFE-7635-40BD-8D73-53A82EB2CEBD}" name="8" dataDxfId="70"/>
    <tableColumn id="10" xr3:uid="{9C2D59C9-E9FE-434D-BD17-04FA130E25EB}" name="9" dataDxfId="69"/>
    <tableColumn id="11" xr3:uid="{C7E54340-87EE-4606-91A3-5CD12E8D9E07}" name="10" dataDxfId="68"/>
    <tableColumn id="12" xr3:uid="{8F033321-07AF-40DE-892A-8EEC92428A42}" name="11" dataDxfId="67"/>
    <tableColumn id="13" xr3:uid="{82443A9F-461A-4DCA-B13C-8FD0C2207D3F}" name="12" dataDxfId="66"/>
    <tableColumn id="14" xr3:uid="{89C565FF-176C-4B34-8ED8-713D62F03117}" name="Total" dataDxfId="65">
      <calculatedColumnFormula>SUM(E313:P313)</calculatedColumnFormula>
    </tableColumn>
    <tableColumn id="15" xr3:uid="{2191D8F4-FC60-4330-8266-41CB056459FA}" name="Number of point scoring rounds" dataDxfId="64">
      <calculatedColumnFormula>COUNTIF(E313:P313,"&gt;1")</calculatedColumnFormula>
    </tableColumn>
    <tableColumn id="16" xr3:uid="{01FE8406-198A-4250-82EB-26F069756CC1}" name="Observed? Y or N" dataDxfId="63">
      <calculatedColumnFormula>Table15[[#This Row],[Total]]</calculatedColumnFormula>
    </tableColumn>
    <tableColumn id="17" xr3:uid="{C5CEA2A5-1AF6-4E86-B435-90D415600889}" name="Penalty Applied" dataDxfId="62">
      <calculatedColumnFormula>IF(Table15[[#This Row],[Observed? Y or N]]="N", "-20", "0")</calculatedColumnFormula>
    </tableColumn>
    <tableColumn id="18" xr3:uid="{4E1553A4-3A54-4004-B1AB-07631D108285}" name="Best 8 Rounds including penalty" dataDxfId="61">
      <calculatedColumnFormula>Table15[[#This Row],[Total]]+Table15[[#This Row],[Penalty Applied]]</calculatedColumnFormula>
    </tableColumn>
    <tableColumn id="19" xr3:uid="{800C24E8-0599-475B-9672-D3E997D15001}" name="Position" dataDxfId="6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80F626-3F49-452A-A077-FA12C17D1EE0}" name="Table16" displayName="Table16" ref="D334:V337" totalsRowShown="0" headerRowDxfId="59" tableBorderDxfId="58">
  <autoFilter ref="D334:V337" xr:uid="{E180F626-3F49-452A-A077-FA12C17D1E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335:V337">
    <sortCondition descending="1" ref="U335:U337"/>
  </sortState>
  <tableColumns count="19">
    <tableColumn id="1" xr3:uid="{78EF56A0-F745-4EA1-8B9F-9A7D63F72163}" name="P67/Twinshock Blue"/>
    <tableColumn id="2" xr3:uid="{780EABFE-7031-413F-B9FF-13532668F81E}" name="1" dataDxfId="57"/>
    <tableColumn id="3" xr3:uid="{B9BAF4E3-C87F-49E2-83AD-52E641D3DABD}" name="2" dataDxfId="56"/>
    <tableColumn id="4" xr3:uid="{463E9ED3-7A86-47B9-A75A-1463C59FBA6B}" name="3" dataDxfId="55"/>
    <tableColumn id="5" xr3:uid="{44C22427-EDB7-412F-A0A5-F2E8349F963E}" name="4" dataDxfId="54"/>
    <tableColumn id="6" xr3:uid="{69E61A8D-534E-46B6-BADA-6B19223C8D8F}" name="5" dataDxfId="53"/>
    <tableColumn id="7" xr3:uid="{3F15F299-C154-4442-8A86-41B3F8020017}" name="6" dataDxfId="52"/>
    <tableColumn id="8" xr3:uid="{11289D62-EDF2-4123-902C-1B88FB49C14C}" name="7" dataDxfId="51"/>
    <tableColumn id="9" xr3:uid="{E3FB66C0-F8A0-4CA4-9905-0E7F598549D3}" name="8" dataDxfId="50"/>
    <tableColumn id="10" xr3:uid="{A4BB8455-61C8-4FAF-8B0C-DA4DC5167162}" name="9" dataDxfId="49"/>
    <tableColumn id="11" xr3:uid="{19E88C17-23C4-4F2E-BE44-0D33973C6935}" name="10" dataDxfId="48"/>
    <tableColumn id="12" xr3:uid="{5F842364-871B-4BC7-9CE4-76187B400BF7}" name="11" dataDxfId="47"/>
    <tableColumn id="13" xr3:uid="{78211866-5885-4BA9-AD32-B5B41271DAC6}" name="12" dataDxfId="46"/>
    <tableColumn id="14" xr3:uid="{3AB2CADF-F9D8-4AD7-8C7D-28B73E405148}" name="Total" dataDxfId="45">
      <calculatedColumnFormula>SUM(Table16[[#This Row],[1]:[12]])</calculatedColumnFormula>
    </tableColumn>
    <tableColumn id="15" xr3:uid="{0D5371EB-D180-428F-B811-07C6591C98BC}" name="Number of point scoring rounds" dataDxfId="44">
      <calculatedColumnFormula>COUNTIF(E335:P335,"&gt;1")</calculatedColumnFormula>
    </tableColumn>
    <tableColumn id="16" xr3:uid="{98B6698C-1FF8-433E-9F90-7B1C96E8DC40}" name="Observed? Y or N"/>
    <tableColumn id="17" xr3:uid="{44154E68-C258-4C41-8404-F93AE8B49660}" name="Penalty Applied" dataDxfId="43">
      <calculatedColumnFormula>IF(Table16[[#This Row],[Observed? Y or N]]="N", "-20", "0")</calculatedColumnFormula>
    </tableColumn>
    <tableColumn id="18" xr3:uid="{04DEF9A0-602F-4EC3-B9B5-FA19BA88F73C}" name="Best 8 Rounds including penalty" dataDxfId="42">
      <calculatedColumnFormula>Table16[[#This Row],[Total]]+Table16[[#This Row],[Penalty Applied]]</calculatedColumnFormula>
    </tableColumn>
    <tableColumn id="19" xr3:uid="{AC444089-2D3A-4713-B31E-19765CCE10B6}" name="Position" dataDxfId="4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771186-5C99-43FC-9A93-084BF5F6A6B0}" name="Table103" displayName="Table103" ref="D254:V258" headerRowCount="0" totalsRowShown="0" headerRowDxfId="40" dataDxfId="39" tableBorderDxfId="38">
  <tableColumns count="19">
    <tableColumn id="1" xr3:uid="{982CE3D3-77D9-444A-A253-188652442BF6}" name="Column1" headerRowDxfId="37" dataDxfId="36"/>
    <tableColumn id="2" xr3:uid="{DFB7C24D-0B0D-4101-888D-69AD590116EB}" name="Column2" headerRowDxfId="35" dataDxfId="34"/>
    <tableColumn id="3" xr3:uid="{47CD18B9-8568-480E-9AAE-EDEE4513CB3E}" name="Column3" headerRowDxfId="33" dataDxfId="32"/>
    <tableColumn id="4" xr3:uid="{FE3B01DD-6A4E-41A9-89D5-EACF8949B28A}" name="Column4" headerRowDxfId="31" dataDxfId="30"/>
    <tableColumn id="5" xr3:uid="{4C01BD26-94D0-46D7-9A11-209FF48DC745}" name="Column5" headerRowDxfId="29" dataDxfId="28"/>
    <tableColumn id="6" xr3:uid="{3DE80C04-A1C5-4635-9519-F20E90039BBB}" name="Column6" headerRowDxfId="27" dataDxfId="26"/>
    <tableColumn id="7" xr3:uid="{BC3C4FA0-E197-4E14-A610-9EF3FF078608}" name="Column7" headerRowDxfId="25" dataDxfId="24"/>
    <tableColumn id="8" xr3:uid="{4A03B578-32B3-4E77-86B4-E75A12F7F929}" name="Column8" headerRowDxfId="23" dataDxfId="22"/>
    <tableColumn id="9" xr3:uid="{5255F4DD-4768-4398-BCF6-66C2DB7D6D39}" name="Column9" headerRowDxfId="21" dataDxfId="20"/>
    <tableColumn id="10" xr3:uid="{47B4DA28-A1A8-45C8-B8DD-523768397B7C}" name="Column10" headerRowDxfId="19" dataDxfId="18"/>
    <tableColumn id="11" xr3:uid="{02C07BE8-968D-4729-AE5B-881770234162}" name="Column11" headerRowDxfId="17" dataDxfId="16"/>
    <tableColumn id="12" xr3:uid="{EBC655CE-7B5A-4C4E-8836-0AE6C61AF352}" name="Column12" headerRowDxfId="15" dataDxfId="14"/>
    <tableColumn id="13" xr3:uid="{87A06C8D-C98E-453F-B45A-0F4838D8E47B}" name="Column13" headerRowDxfId="13" dataDxfId="12"/>
    <tableColumn id="14" xr3:uid="{724BF5DD-57B6-45C6-AF4E-33E7B49FA9B7}" name="Column14" headerRowDxfId="11" dataDxfId="10">
      <calculatedColumnFormula>SUM(Table103[[#This Row],[Column2]:[Column13]])</calculatedColumnFormula>
    </tableColumn>
    <tableColumn id="15" xr3:uid="{25CEC10C-3484-4A8D-9F23-211A9D57C895}" name="Column15" headerRowDxfId="9" dataDxfId="8">
      <calculatedColumnFormula>COUNTIF(E254:P254,"&gt;1")</calculatedColumnFormula>
    </tableColumn>
    <tableColumn id="16" xr3:uid="{D71515BA-8240-4A4E-97C9-F928F0089243}" name="Column16" headerRowDxfId="7" dataDxfId="6"/>
    <tableColumn id="17" xr3:uid="{88755308-536B-4733-B022-64410226E882}" name="Column17" headerRowDxfId="5" dataDxfId="4"/>
    <tableColumn id="18" xr3:uid="{CF44D5C5-806D-4A45-BF04-A7C8522619FC}" name="Column18" headerRowDxfId="3" dataDxfId="2"/>
    <tableColumn id="19" xr3:uid="{8973F996-4ADA-4832-A8B6-8EAE2050E0D9}" name="Column19" headerRowDxfId="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0B69DE-51D5-44D3-9292-CBB6C897E1D0}" name="Table3" displayName="Table3" ref="D29:V43" totalsRowShown="0" headerRowDxfId="344" dataDxfId="343" tableBorderDxfId="342">
  <autoFilter ref="D29:V43" xr:uid="{D60B69DE-51D5-44D3-9292-CBB6C897E1D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30:V43">
    <sortCondition descending="1" ref="Q30:Q43"/>
  </sortState>
  <tableColumns count="19">
    <tableColumn id="1" xr3:uid="{F2F20358-7FE6-4B3F-8A13-3205F9AB285E}" name="Expert B" dataDxfId="341"/>
    <tableColumn id="2" xr3:uid="{AF51933E-1256-499E-ABE9-71B14F1158AE}" name="1" dataDxfId="340"/>
    <tableColumn id="3" xr3:uid="{018F2295-2E1F-448D-89B5-63972520F637}" name="2" dataDxfId="339"/>
    <tableColumn id="4" xr3:uid="{3AE21C6E-EFAB-4419-B01F-4FCE1AC81B1D}" name="3" dataDxfId="338"/>
    <tableColumn id="5" xr3:uid="{FDA120F6-26BD-4F69-BB4E-E66C38DE702A}" name="4" dataDxfId="337"/>
    <tableColumn id="6" xr3:uid="{719D8119-F8A2-4E9F-90C1-C61541E3E787}" name="5" dataDxfId="336"/>
    <tableColumn id="7" xr3:uid="{1843FC34-BAE6-46B5-8B70-4E7C0FE67FCB}" name="6" dataDxfId="335"/>
    <tableColumn id="8" xr3:uid="{6C269700-C6BE-4739-9E63-C27B96A10A58}" name="7" dataDxfId="334"/>
    <tableColumn id="9" xr3:uid="{9021E0A0-742D-44BD-A542-E7C4D32F1A6A}" name="8" dataDxfId="333"/>
    <tableColumn id="10" xr3:uid="{2B6FEC4C-0C45-4414-8F3C-B3BDA6EA3A26}" name="9" dataDxfId="332"/>
    <tableColumn id="11" xr3:uid="{9EF6096C-45A6-4EC5-A361-6FFB9ACF2E4C}" name="10" dataDxfId="331"/>
    <tableColumn id="12" xr3:uid="{FCC74548-2F10-4F50-8BFC-AE12ACC76E29}" name="11" dataDxfId="330"/>
    <tableColumn id="13" xr3:uid="{CD58A271-C5CE-43E7-9083-EFFC0314D3CF}" name="12" dataDxfId="329"/>
    <tableColumn id="14" xr3:uid="{9BC7C2B2-7C39-46B2-AB6B-D8F59CD230DB}" name="Total" dataDxfId="328">
      <calculatedColumnFormula>SUM(Table3[[#This Row],[1]:[12]])</calculatedColumnFormula>
    </tableColumn>
    <tableColumn id="15" xr3:uid="{03FFA3F9-55D5-4B0E-AEC5-8A455EE3F8AB}" name="Number of point scoring rounds" dataDxfId="327">
      <calculatedColumnFormula>COUNTIF(E30:P30,"&gt;1")</calculatedColumnFormula>
    </tableColumn>
    <tableColumn id="16" xr3:uid="{73468A6A-E1BD-4D8B-909A-1014AF5B9D90}" name="Observed? Y or N" dataDxfId="326">
      <calculatedColumnFormula>Table3[[#This Row],[Total]]</calculatedColumnFormula>
    </tableColumn>
    <tableColumn id="17" xr3:uid="{B16573A2-30A9-48FB-B216-8E793E012FE6}" name="Penalty Applied" dataDxfId="325">
      <calculatedColumnFormula>IF(Table3[[#This Row],[Observed? Y or N]]="N", "-20", "0")</calculatedColumnFormula>
    </tableColumn>
    <tableColumn id="18" xr3:uid="{A3F01266-C5C7-48F1-9715-EA46D9B6B9B2}" name="Best 8 Rounds including penalty" dataDxfId="324">
      <calculatedColumnFormula>Table3[[#This Row],[Total]]+Table3[[#This Row],[Penalty Applied]]</calculatedColumnFormula>
    </tableColumn>
    <tableColumn id="19" xr3:uid="{83D55528-62F5-43A9-A40A-B7A2E2C958ED}" name="Position" dataDxfId="3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39F616-76D2-4A92-8260-837BC38C21E5}" name="Table4" displayName="Table4" ref="D46:V87" totalsRowShown="0" headerRowDxfId="322" tableBorderDxfId="321">
  <autoFilter ref="D46:V87" xr:uid="{4C39F616-76D2-4A92-8260-837BC38C21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47:V87">
    <sortCondition descending="1" ref="U47:U87"/>
  </sortState>
  <tableColumns count="19">
    <tableColumn id="1" xr3:uid="{E06EFF3B-E4B4-40B2-84D0-E2017EC2124D}" name="Intermediate" dataDxfId="320"/>
    <tableColumn id="2" xr3:uid="{6316842D-A49F-4756-8A13-52CB3F4DCCBB}" name="1" dataDxfId="319"/>
    <tableColumn id="3" xr3:uid="{3CB01A5E-80F7-4D79-99A9-AD7D33F6CD57}" name="2" dataDxfId="318"/>
    <tableColumn id="4" xr3:uid="{C842B246-8F42-40C2-AD06-3D60FE494575}" name="3" dataDxfId="317"/>
    <tableColumn id="5" xr3:uid="{CC698B1C-84ED-465E-80CD-6C3CA7E29F7A}" name="4" dataDxfId="316"/>
    <tableColumn id="6" xr3:uid="{60901085-11E7-4806-9A32-32964E9316B7}" name="5" dataDxfId="315"/>
    <tableColumn id="7" xr3:uid="{7E120896-A95D-4BB3-8EC4-BA482712F9DC}" name="6" dataDxfId="314"/>
    <tableColumn id="8" xr3:uid="{55AADFE2-F6C2-4715-B602-B0D43B0BBAFB}" name="7" dataDxfId="313"/>
    <tableColumn id="9" xr3:uid="{D46F29C5-F4BD-440F-BEB8-432542DF47AE}" name="8" dataDxfId="312"/>
    <tableColumn id="10" xr3:uid="{418DBB19-50E9-4502-BD6E-D3C64705C21B}" name="9" dataDxfId="311"/>
    <tableColumn id="11" xr3:uid="{5AC5ED3F-0E03-4F79-B429-5EF49C0AC28B}" name="10" dataDxfId="310"/>
    <tableColumn id="12" xr3:uid="{9121F485-6342-41A1-904C-5283D717AA47}" name="11" dataDxfId="309"/>
    <tableColumn id="13" xr3:uid="{A7F3A465-AF11-4425-AB36-E4110D52EDAE}" name="12" dataDxfId="308"/>
    <tableColumn id="14" xr3:uid="{558FC9EC-6C3A-4EC1-8A8B-78DE445E63FC}" name="Total" dataDxfId="307">
      <calculatedColumnFormula>SUM(Table4[[#This Row],[1]:[12]])</calculatedColumnFormula>
    </tableColumn>
    <tableColumn id="15" xr3:uid="{A5053DC8-FAA6-43DE-A543-5189D9600AA1}" name="Number of point scoring rounds" dataDxfId="306">
      <calculatedColumnFormula>COUNTIF(E47:P47,"&gt;1")</calculatedColumnFormula>
    </tableColumn>
    <tableColumn id="16" xr3:uid="{BEEADA64-C0D7-40C1-A5DC-6E3D08CE6870}" name="Observed? Y or N" dataDxfId="305">
      <calculatedColumnFormula>Table4[[#This Row],[Total]]</calculatedColumnFormula>
    </tableColumn>
    <tableColumn id="17" xr3:uid="{9AFBE952-CB1D-451B-A5F6-E49490DB5844}" name="Penalty Applied" dataDxfId="304">
      <calculatedColumnFormula>IF(Table4[[#This Row],[Observed? Y or N]]="N", "-20", "0")</calculatedColumnFormula>
    </tableColumn>
    <tableColumn id="18" xr3:uid="{3CB1761B-12F5-429D-A5AB-2F236850FAD2}" name="Best 8 Rounds including penalty" dataDxfId="303">
      <calculatedColumnFormula>Table4[[#This Row],[Total]]+Table4[[#This Row],[Penalty Applied]]</calculatedColumnFormula>
    </tableColumn>
    <tableColumn id="19" xr3:uid="{D65AFE9C-6ECF-4CFB-B9EA-25013DC818C1}" name="Position" dataDxfId="30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CD7567-05B3-412E-916F-460D36036F8C}" name="Table5" displayName="Table5" ref="D90:V104" totalsRowShown="0" headerRowDxfId="301" dataDxfId="300" tableBorderDxfId="299">
  <autoFilter ref="D90:V104" xr:uid="{7BCD7567-05B3-412E-916F-460D36036F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91:V104">
    <sortCondition descending="1" ref="U91:U104"/>
  </sortState>
  <tableColumns count="19">
    <tableColumn id="1" xr3:uid="{55ABBA7C-3694-4F9F-8843-C0011F43D024}" name="Over 40 Inter" dataDxfId="298"/>
    <tableColumn id="2" xr3:uid="{2D141765-F836-4E86-AAEA-A3BBB7135DC8}" name="1" dataDxfId="297"/>
    <tableColumn id="3" xr3:uid="{AFBF8016-6C16-4BDA-B4A1-5BB2D5AB6824}" name="2" dataDxfId="296"/>
    <tableColumn id="4" xr3:uid="{60A4EF72-CA56-4CC4-8F5A-4DCABDA83921}" name="3" dataDxfId="295"/>
    <tableColumn id="5" xr3:uid="{CAE21A5F-13EB-42DC-B4AB-59616BDD795D}" name="4" dataDxfId="294"/>
    <tableColumn id="6" xr3:uid="{B2F3B40E-CEE2-45B0-A1F1-2DE969D140EF}" name="5" dataDxfId="293"/>
    <tableColumn id="7" xr3:uid="{80F20090-89FA-4EA1-BCF7-C619F05694CC}" name="6" dataDxfId="292"/>
    <tableColumn id="8" xr3:uid="{B5008A89-D620-47DC-B7BA-BFB4E2578458}" name="7" dataDxfId="291"/>
    <tableColumn id="9" xr3:uid="{8537B357-8FFD-4166-BCA3-51A44B721E00}" name="8" dataDxfId="290"/>
    <tableColumn id="10" xr3:uid="{01F45E09-3A8E-4E10-9B5B-78B42ED13D9A}" name="9" dataDxfId="289"/>
    <tableColumn id="11" xr3:uid="{61E05F06-ECB6-40C7-971D-CF3855A3FC7D}" name="10" dataDxfId="288"/>
    <tableColumn id="12" xr3:uid="{FEEA7212-AD1B-4FBD-B229-D0BB4D0A3431}" name="11" dataDxfId="287"/>
    <tableColumn id="13" xr3:uid="{9DF47A9E-5C47-4DCB-B8D2-BE838F1579F1}" name="12" dataDxfId="286"/>
    <tableColumn id="14" xr3:uid="{111254B0-C548-44A0-93F2-F3B361D77A88}" name="Total" dataDxfId="285">
      <calculatedColumnFormula>SUM(E91:P91)</calculatedColumnFormula>
    </tableColumn>
    <tableColumn id="15" xr3:uid="{8A9AF9C9-D2CB-4FA5-AEEE-5871DD52BC76}" name="Number of point scoring rounds" dataDxfId="284">
      <calculatedColumnFormula>COUNTIF(E91:P91,"&gt;1")</calculatedColumnFormula>
    </tableColumn>
    <tableColumn id="16" xr3:uid="{72F393EF-A60E-4913-BB63-71615DF6B4F0}" name="Observed? Y or N" dataDxfId="283">
      <calculatedColumnFormula>Table5[[#This Row],[Total]]</calculatedColumnFormula>
    </tableColumn>
    <tableColumn id="17" xr3:uid="{B0D2049A-F818-4136-9614-D3EB18724654}" name="Penalty Applied" dataDxfId="282">
      <calculatedColumnFormula>IF(Table5[[#This Row],[Observed? Y or N]]="N", "-20", "0")</calculatedColumnFormula>
    </tableColumn>
    <tableColumn id="18" xr3:uid="{0AAC2A12-5E4E-4D74-A3E6-5085E1645307}" name="Best 8 Rounds including penalty" dataDxfId="281">
      <calculatedColumnFormula>Table5[[#This Row],[Total]]+Table5[[#This Row],[Penalty Applied]]</calculatedColumnFormula>
    </tableColumn>
    <tableColumn id="19" xr3:uid="{5272BA52-1C00-4AFD-92FD-286880FB64C5}" name="Position" dataDxfId="2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7E38203-7D68-442C-8040-670C989CAAEE}" name="Table6" displayName="Table6" ref="D107:V132" totalsRowShown="0" headerRowDxfId="279" dataDxfId="278" tableBorderDxfId="277">
  <autoFilter ref="D107:V132" xr:uid="{57E38203-7D68-442C-8040-670C989CAA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108:V132">
    <sortCondition descending="1" ref="U108:U132"/>
  </sortState>
  <tableColumns count="19">
    <tableColumn id="1" xr3:uid="{4B581689-CFEB-434C-9E7A-A54930C7F60C}" name="Inter B" dataDxfId="276"/>
    <tableColumn id="2" xr3:uid="{B6B59AB2-8EBB-4120-97C9-1842F4BDCF58}" name="1" dataDxfId="275"/>
    <tableColumn id="3" xr3:uid="{A0765D1C-E0EF-402A-839D-3965C43C4F9D}" name="2" dataDxfId="274"/>
    <tableColumn id="4" xr3:uid="{DC60A9A9-F7C4-4431-B499-DB259E25980B}" name="3" dataDxfId="273"/>
    <tableColumn id="5" xr3:uid="{C0F18A2F-7641-4D69-ACB4-98FE48C1161D}" name="4" dataDxfId="272"/>
    <tableColumn id="6" xr3:uid="{922990F2-020D-4206-BB56-7BEA7D985396}" name="5" dataDxfId="271"/>
    <tableColumn id="7" xr3:uid="{6E914DCA-9C46-4F0C-9C61-FD051C7BC706}" name="6" dataDxfId="270"/>
    <tableColumn id="8" xr3:uid="{FF7DB0EC-0757-4C45-8EF0-9894A0EC4808}" name="7" dataDxfId="269"/>
    <tableColumn id="9" xr3:uid="{08263561-A7C1-479C-B1D3-F778D40748C6}" name="8" dataDxfId="268"/>
    <tableColumn id="10" xr3:uid="{1AB4EBAA-726F-4492-B6A3-33DC610E0312}" name="9" dataDxfId="267"/>
    <tableColumn id="11" xr3:uid="{828ABC9E-3B5E-417C-BBC6-DE949D54E7D1}" name="10" dataDxfId="266"/>
    <tableColumn id="12" xr3:uid="{03AA7E19-D083-423B-80EC-2151240C1DC7}" name="11" dataDxfId="265"/>
    <tableColumn id="13" xr3:uid="{B08C8DBF-700B-49B8-B672-0FC1A784D9A4}" name="12" dataDxfId="264"/>
    <tableColumn id="14" xr3:uid="{5A281001-0EBF-4FEF-8CF2-B944D343D545}" name="Total" dataDxfId="263">
      <calculatedColumnFormula>SUM(Table6[[#This Row],[1]:[12]])</calculatedColumnFormula>
    </tableColumn>
    <tableColumn id="15" xr3:uid="{D39E922C-84F6-4916-974E-D8761A7EFEC3}" name="Number of point scoring rounds" dataDxfId="262">
      <calculatedColumnFormula>COUNTIF(E108:P108,"&gt;1")</calculatedColumnFormula>
    </tableColumn>
    <tableColumn id="16" xr3:uid="{30ABF846-0C72-4473-ABB4-DC758C34DD6D}" name="Observed? Y or N" dataDxfId="261">
      <calculatedColumnFormula>Table6[[#This Row],[Total]]</calculatedColumnFormula>
    </tableColumn>
    <tableColumn id="17" xr3:uid="{5550A32D-D58B-46C0-9B7E-FDD2AF1C52B1}" name="Penalty Applied" dataDxfId="260">
      <calculatedColumnFormula>IF(Table6[[#This Row],[Observed? Y or N]]="N", "-20", "0")</calculatedColumnFormula>
    </tableColumn>
    <tableColumn id="18" xr3:uid="{C4638D49-E9BC-4ED4-9C20-C5E551200AD1}" name="Best 8 Rounds including penalty" dataDxfId="259">
      <calculatedColumnFormula>Table6[[#This Row],[Total]]+Table6[[#This Row],[Penalty Applied]]</calculatedColumnFormula>
    </tableColumn>
    <tableColumn id="19" xr3:uid="{FAE5AD2A-884C-4F92-B121-C6391AEBA9AE}" name="Position" dataDxfId="25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AD7363-689A-425B-8A2E-2F2DF75DE052}" name="Table7" displayName="Table7" ref="D135:V186" totalsRowShown="0" headerRowDxfId="257" dataDxfId="256" tableBorderDxfId="255">
  <autoFilter ref="D135:V186" xr:uid="{37AD7363-689A-425B-8A2E-2F2DF75DE0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136:V186">
    <sortCondition descending="1" ref="U136:U186"/>
  </sortState>
  <tableColumns count="19">
    <tableColumn id="1" xr3:uid="{39D7C143-896D-45B0-8196-95AD05867E1A}" name="Novice" dataDxfId="254"/>
    <tableColumn id="2" xr3:uid="{3F15E01C-CDB1-464E-A6B8-6609FE45C91D}" name="1" dataDxfId="253"/>
    <tableColumn id="3" xr3:uid="{A26B978A-EBA2-4BCE-95E1-F5992CAEE614}" name="2" dataDxfId="252"/>
    <tableColumn id="4" xr3:uid="{2D7387C3-E929-4E38-99AC-1B7BABCBFA46}" name="3" dataDxfId="251"/>
    <tableColumn id="5" xr3:uid="{C0D5C5A1-AA45-4314-A99A-2D6A0633524B}" name="4" dataDxfId="250"/>
    <tableColumn id="6" xr3:uid="{002C1FEA-3B6E-4756-A314-F99A903A92AA}" name="5" dataDxfId="249"/>
    <tableColumn id="7" xr3:uid="{6B4879F6-AA83-474E-8082-DF40B8E8C574}" name="6" dataDxfId="248"/>
    <tableColumn id="8" xr3:uid="{8A5586A1-C36C-4BE1-BA0A-C956EA7780D9}" name="7" dataDxfId="247"/>
    <tableColumn id="9" xr3:uid="{576995B9-C333-4863-A4AD-07E967DEB442}" name="8" dataDxfId="246"/>
    <tableColumn id="10" xr3:uid="{099BFCF6-08D3-4B4A-A298-750D357FAE26}" name="9" dataDxfId="245"/>
    <tableColumn id="11" xr3:uid="{462F6519-EDDB-495B-867D-56A13FB70FD2}" name="10" dataDxfId="244"/>
    <tableColumn id="12" xr3:uid="{06085AB8-D064-46E5-AC44-E9C5282ABB6C}" name="11" dataDxfId="243"/>
    <tableColumn id="13" xr3:uid="{AE3FD0D3-7E1B-41EA-9BAD-AFD4D78A36FB}" name="12" dataDxfId="242"/>
    <tableColumn id="14" xr3:uid="{07AC5C91-6EA9-4A3F-9064-4C0032C4AC4E}" name="Total" dataDxfId="241">
      <calculatedColumnFormula>SUM(Table7[[#This Row],[1]:[12]])</calculatedColumnFormula>
    </tableColumn>
    <tableColumn id="15" xr3:uid="{B954C269-A000-4210-B3B0-9FFCE7C1EDB0}" name="Number of point scoring rounds" dataDxfId="240">
      <calculatedColumnFormula>COUNTIF(E136:P136,"&gt;1")</calculatedColumnFormula>
    </tableColumn>
    <tableColumn id="16" xr3:uid="{717C92A8-4330-4AFE-B675-8B76AD565EA6}" name="Observed? Y or N" dataDxfId="239">
      <calculatedColumnFormula>Table7[[#This Row],[Total]]</calculatedColumnFormula>
    </tableColumn>
    <tableColumn id="17" xr3:uid="{BE326B3C-4209-47E6-B34D-95F243EF8B4A}" name="Penalty Applied" dataDxfId="238">
      <calculatedColumnFormula>IF(Table7[[#This Row],[Observed? Y or N]]="N", "-20", "0")</calculatedColumnFormula>
    </tableColumn>
    <tableColumn id="18" xr3:uid="{08FC9F11-883F-402B-ACFF-7AFF4B084D3D}" name="Best 8 Rounds including penalty" dataDxfId="237">
      <calculatedColumnFormula>Table7[[#This Row],[Total]]+Table7[[#This Row],[Penalty Applied]]</calculatedColumnFormula>
    </tableColumn>
    <tableColumn id="19" xr3:uid="{50FB804B-99F5-4E2D-BE20-FF4B0FFB496A}" name="Position" dataDxfId="2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2A38C1B-59D4-4AF9-BA9A-14FB876052B3}" name="Table8" displayName="Table8" ref="D189:V223" totalsRowShown="0" headerRowDxfId="235" dataDxfId="234" tableBorderDxfId="233">
  <autoFilter ref="D189:V223" xr:uid="{22A38C1B-59D4-4AF9-BA9A-14FB876052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190:V223">
    <sortCondition descending="1" ref="U190:U223"/>
  </sortState>
  <tableColumns count="19">
    <tableColumn id="1" xr3:uid="{36CE43B4-89CE-4560-8BC6-6F1E8AE90906}" name="Over 50 Novice" dataDxfId="232"/>
    <tableColumn id="2" xr3:uid="{63E51872-719F-42E8-8F38-A4AFD77CCD07}" name="1" dataDxfId="231"/>
    <tableColumn id="3" xr3:uid="{5DC4EADF-D0C7-4D12-B62F-865EE46A9CF2}" name="2" dataDxfId="230"/>
    <tableColumn id="4" xr3:uid="{86785627-9855-42B3-9CFE-6F42B09E5FD8}" name="3" dataDxfId="229"/>
    <tableColumn id="5" xr3:uid="{11DD88DD-F301-4735-9EEA-5AF52451F223}" name="4" dataDxfId="228"/>
    <tableColumn id="6" xr3:uid="{D9A23475-8922-4327-9744-0EDE6271A6D3}" name="5" dataDxfId="227"/>
    <tableColumn id="7" xr3:uid="{CBD7B40A-C776-4F0D-8F4A-58408787E1EB}" name="6" dataDxfId="226"/>
    <tableColumn id="8" xr3:uid="{3B6D360E-654D-43EE-BE53-A95AB96B0F31}" name="7" dataDxfId="225"/>
    <tableColumn id="9" xr3:uid="{3EA16F86-4014-4C52-B11A-C4D5FE40D703}" name="8" dataDxfId="224"/>
    <tableColumn id="10" xr3:uid="{0DFC0611-AAC3-4978-9D7A-6877B1C6049F}" name="9" dataDxfId="223"/>
    <tableColumn id="11" xr3:uid="{344C0867-E725-4FCF-8E98-1EF68578B355}" name="10" dataDxfId="222"/>
    <tableColumn id="12" xr3:uid="{CFD0CE6B-4A04-464B-B3A5-31D99DB9A7B7}" name="11" dataDxfId="221"/>
    <tableColumn id="13" xr3:uid="{49CF1F14-F799-45EE-BC5E-1BC7010A7CEB}" name="12" dataDxfId="220"/>
    <tableColumn id="14" xr3:uid="{187D87A0-4CEB-47BF-B720-5D10A3514349}" name="Total" dataDxfId="219">
      <calculatedColumnFormula>SUM(Table8[[#This Row],[1]:[12]])</calculatedColumnFormula>
    </tableColumn>
    <tableColumn id="15" xr3:uid="{1F373D4E-BFA3-4DAB-8A9F-3CDB3F4153BE}" name="Number of point scoring rounds" dataDxfId="218">
      <calculatedColumnFormula>COUNTIF(E190:P190,"&gt;1")</calculatedColumnFormula>
    </tableColumn>
    <tableColumn id="16" xr3:uid="{67ED1601-CF5F-447E-AF77-2BD762CEA2ED}" name="Observed? Y or N" dataDxfId="217">
      <calculatedColumnFormula>Table8[[#This Row],[Total]]</calculatedColumnFormula>
    </tableColumn>
    <tableColumn id="17" xr3:uid="{126625CF-0A73-4F54-8B46-4E39CD211A39}" name="Penalty Applied" dataDxfId="216">
      <calculatedColumnFormula>IF(Table8[[#This Row],[Observed? Y or N]]="N", "-20", "0")</calculatedColumnFormula>
    </tableColumn>
    <tableColumn id="18" xr3:uid="{91D95381-E4C9-4F7A-8AA7-C4C4F35CC152}" name="Best 8 Rounds including penalty" dataDxfId="215">
      <calculatedColumnFormula>Table8[[#This Row],[Total]]+Table8[[#This Row],[Penalty Applied]]</calculatedColumnFormula>
    </tableColumn>
    <tableColumn id="19" xr3:uid="{A10B3D07-4BCC-4323-84E1-30B1B4C3B190}" name="Position" dataDxfId="2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3B8706-03A1-44DE-AD55-F4ECAB610C67}" name="Table9" displayName="Table9" ref="D226:V243" totalsRowShown="0" headerRowDxfId="213" dataDxfId="212" tableBorderDxfId="211">
  <autoFilter ref="D226:V243" xr:uid="{773B8706-03A1-44DE-AD55-F4ECAB610C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227:V243">
    <sortCondition descending="1" ref="U227:U243"/>
  </sortState>
  <tableColumns count="19">
    <tableColumn id="1" xr3:uid="{A048815E-EA06-44CA-896D-D564111DDB4A}" name="Sportsperson Route" dataDxfId="210"/>
    <tableColumn id="2" xr3:uid="{3E0B6DD3-C4A6-47CA-97A7-D64780CC14DE}" name="1" dataDxfId="209"/>
    <tableColumn id="3" xr3:uid="{3C55A335-60D4-482B-93B0-0EBCFF103E94}" name="2" dataDxfId="208"/>
    <tableColumn id="4" xr3:uid="{C15B6394-4CE2-405D-8310-A3A15A32D1B5}" name="3" dataDxfId="207"/>
    <tableColumn id="5" xr3:uid="{079A9451-EDFE-46BE-94A2-796B859C7CA3}" name="4" dataDxfId="206"/>
    <tableColumn id="6" xr3:uid="{F87761DD-CBF4-4650-8390-F1869631264B}" name="5" dataDxfId="205"/>
    <tableColumn id="7" xr3:uid="{A6F96CF3-A29A-4FC6-8B00-4D3C119A12F0}" name="6" dataDxfId="204"/>
    <tableColumn id="8" xr3:uid="{D0785C99-9F59-4B35-8B95-7C13B41B710E}" name="7" dataDxfId="203"/>
    <tableColumn id="9" xr3:uid="{3E569786-68D0-478B-82B3-0E71A72846CA}" name="8" dataDxfId="202"/>
    <tableColumn id="10" xr3:uid="{1456778C-8EAA-4ABE-BD0D-AFB617FC1392}" name="9" dataDxfId="201"/>
    <tableColumn id="11" xr3:uid="{823A5ED3-9020-4EF4-AE01-A20347337BCD}" name="10" dataDxfId="200"/>
    <tableColumn id="12" xr3:uid="{58638BAA-1F47-4394-91F8-32BA75AAC465}" name="11" dataDxfId="199"/>
    <tableColumn id="13" xr3:uid="{4BE7205C-FAC8-4DA1-AAD1-649A85761621}" name="12" dataDxfId="198"/>
    <tableColumn id="14" xr3:uid="{BA2141B5-795F-49FE-B15A-715606B71C34}" name="Total" dataDxfId="197">
      <calculatedColumnFormula>SUM(E227:P227)</calculatedColumnFormula>
    </tableColumn>
    <tableColumn id="15" xr3:uid="{F72AA8EE-9AFA-4756-B74C-9270ACB2E847}" name="Number of point scoring rounds" dataDxfId="196">
      <calculatedColumnFormula>COUNTIF(E227:P227,"&gt;1")</calculatedColumnFormula>
    </tableColumn>
    <tableColumn id="16" xr3:uid="{750FD833-5291-4A09-99B2-33195777ADB7}" name="Observed? Y or N" dataDxfId="195">
      <calculatedColumnFormula>Table9[[#This Row],[Total]]</calculatedColumnFormula>
    </tableColumn>
    <tableColumn id="17" xr3:uid="{88D0457B-7F7F-4CE6-9D32-EDA936BEF219}" name="Penalty Applied" dataDxfId="194">
      <calculatedColumnFormula>IF(Table9[[#This Row],[Observed? Y or N]]="N", "-20", "0")</calculatedColumnFormula>
    </tableColumn>
    <tableColumn id="18" xr3:uid="{B82BEC48-F007-4CF1-AC71-1F35CAF6B408}" name="Best 8 Rounds including penalty" dataDxfId="193">
      <calculatedColumnFormula>Table9[[#This Row],[Total]]+Table9[[#This Row],[Penalty Applied]]</calculatedColumnFormula>
    </tableColumn>
    <tableColumn id="19" xr3:uid="{AB8957A8-90BD-4824-BA69-0AF2AAC65BD4}" name="Position" dataDxfId="19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42F160-936A-4FFF-9710-FE7A7C880370}" name="Table10" displayName="Table10" ref="D247:V252" totalsRowShown="0" headerRowDxfId="191" dataDxfId="190" tableBorderDxfId="189">
  <autoFilter ref="D247:V252" xr:uid="{0B42F160-936A-4FFF-9710-FE7A7C88037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sortState xmlns:xlrd2="http://schemas.microsoft.com/office/spreadsheetml/2017/richdata2" ref="D248:V252">
    <sortCondition descending="1" ref="U248:U252"/>
  </sortState>
  <tableColumns count="19">
    <tableColumn id="1" xr3:uid="{5EB238DD-CC4D-4B28-90D0-5E40F8E0AB96}" name="Youth Inter" dataDxfId="188"/>
    <tableColumn id="2" xr3:uid="{DA52D91C-BA9E-41C4-8E0B-707B3FA3DFFD}" name="1" dataDxfId="187"/>
    <tableColumn id="3" xr3:uid="{8BD2707B-1599-4AB4-89C9-1C9B1997E391}" name="2" dataDxfId="186"/>
    <tableColumn id="4" xr3:uid="{44018FF1-D664-4717-AEAA-80846D8EB46D}" name="3" dataDxfId="185"/>
    <tableColumn id="5" xr3:uid="{03115229-F690-4D04-BF5A-7729D2F4E519}" name="4" dataDxfId="184"/>
    <tableColumn id="6" xr3:uid="{DAA4DFB5-382E-4ED7-880B-8863A5F31078}" name="5" dataDxfId="183"/>
    <tableColumn id="7" xr3:uid="{F6103668-4993-4606-BFDC-DBB4C7811A97}" name="6" dataDxfId="182"/>
    <tableColumn id="8" xr3:uid="{1880D148-8E6E-4C52-8EC5-234AD8BF1938}" name="7" dataDxfId="181"/>
    <tableColumn id="9" xr3:uid="{03E8B2EF-985B-414F-9E3A-6850C6C63E9D}" name="8" dataDxfId="180"/>
    <tableColumn id="10" xr3:uid="{C201CFD5-6850-4C69-8CC7-442877B84EC0}" name="9" dataDxfId="179"/>
    <tableColumn id="11" xr3:uid="{1E8AEF9E-F9DF-440F-853F-E966FA438FFB}" name="10" dataDxfId="178"/>
    <tableColumn id="12" xr3:uid="{749A3B74-B320-4DF1-A061-BCF0D87309FD}" name="11" dataDxfId="177"/>
    <tableColumn id="13" xr3:uid="{D8D086D6-201A-44B5-84C6-75EB035296E7}" name="12" dataDxfId="176"/>
    <tableColumn id="14" xr3:uid="{D680920C-1CAB-42DD-8223-D35F77C3E622}" name="Total" dataDxfId="175">
      <calculatedColumnFormula>SUM(Table10[[#This Row],[1]:[12]])</calculatedColumnFormula>
    </tableColumn>
    <tableColumn id="15" xr3:uid="{30B72E62-893D-48F6-9056-A75D4D49E0DC}" name="Number of point scoring rounds" dataDxfId="174">
      <calculatedColumnFormula>COUNTIF(E248:P248,"&gt;1")</calculatedColumnFormula>
    </tableColumn>
    <tableColumn id="16" xr3:uid="{1502A03E-C109-4132-B808-0C2F008AE9A9}" name="Observed? Y or N" dataDxfId="173"/>
    <tableColumn id="17" xr3:uid="{3A979CEB-1111-4E4B-BDEB-3F5D83B7DBF5}" name="Penalty Applied" dataDxfId="172"/>
    <tableColumn id="18" xr3:uid="{23A075EA-2D6C-4F6E-ADDB-94C6636DF690}" name="Best 8 Rounds including penalty" dataDxfId="171">
      <calculatedColumnFormula>Table10[[#This Row],[Total]]</calculatedColumnFormula>
    </tableColumn>
    <tableColumn id="19" xr3:uid="{466554AF-5B10-409B-9E4D-767EF5D8830D}" name="Position" dataDxfId="17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982C-DA6E-4D60-A40A-C87F9C056071}">
  <sheetPr>
    <pageSetUpPr fitToPage="1"/>
  </sheetPr>
  <dimension ref="A2:X337"/>
  <sheetViews>
    <sheetView tabSelected="1" topLeftCell="A104" zoomScaleNormal="100" workbookViewId="0">
      <selection activeCell="V111" sqref="V111"/>
    </sheetView>
  </sheetViews>
  <sheetFormatPr defaultRowHeight="14.4" x14ac:dyDescent="0.3"/>
  <cols>
    <col min="4" max="4" width="21.109375" bestFit="1" customWidth="1"/>
    <col min="5" max="20" width="4.77734375" customWidth="1"/>
    <col min="21" max="21" width="4.109375" bestFit="1" customWidth="1"/>
    <col min="24" max="24" width="27" customWidth="1"/>
  </cols>
  <sheetData>
    <row r="2" spans="1:22" x14ac:dyDescent="0.3">
      <c r="D2" s="116" t="s">
        <v>211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2" x14ac:dyDescent="0.3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2" x14ac:dyDescent="0.3"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2" x14ac:dyDescent="0.3"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2" ht="15" thickBot="1" x14ac:dyDescent="0.35">
      <c r="Q6" s="117" t="s">
        <v>46</v>
      </c>
      <c r="R6" s="117"/>
      <c r="S6" s="117"/>
      <c r="T6" s="117"/>
    </row>
    <row r="7" spans="1:22" ht="53.4" thickBot="1" x14ac:dyDescent="0.35">
      <c r="E7" s="15" t="s">
        <v>19</v>
      </c>
      <c r="F7" s="14" t="s">
        <v>20</v>
      </c>
      <c r="G7" s="15" t="s">
        <v>53</v>
      </c>
      <c r="H7" s="14" t="s">
        <v>54</v>
      </c>
      <c r="I7" s="15" t="s">
        <v>21</v>
      </c>
      <c r="J7" s="13" t="s">
        <v>22</v>
      </c>
      <c r="K7" s="17" t="s">
        <v>23</v>
      </c>
      <c r="L7" s="13" t="s">
        <v>57</v>
      </c>
      <c r="M7" s="17" t="s">
        <v>24</v>
      </c>
      <c r="N7" s="13" t="s">
        <v>25</v>
      </c>
      <c r="O7" s="17" t="s">
        <v>26</v>
      </c>
      <c r="P7" s="13" t="s">
        <v>27</v>
      </c>
      <c r="Q7" s="10"/>
      <c r="R7" s="10"/>
      <c r="S7" s="10"/>
      <c r="T7" s="10"/>
    </row>
    <row r="8" spans="1:22" ht="147" thickBot="1" x14ac:dyDescent="0.35">
      <c r="E8" s="16" t="s">
        <v>28</v>
      </c>
      <c r="F8" s="12" t="s">
        <v>33</v>
      </c>
      <c r="G8" s="16" t="s">
        <v>29</v>
      </c>
      <c r="H8" s="12" t="s">
        <v>213</v>
      </c>
      <c r="I8" s="16" t="s">
        <v>214</v>
      </c>
      <c r="J8" s="11" t="s">
        <v>215</v>
      </c>
      <c r="K8" s="18" t="s">
        <v>44</v>
      </c>
      <c r="L8" s="11" t="s">
        <v>56</v>
      </c>
      <c r="M8" s="18" t="s">
        <v>30</v>
      </c>
      <c r="N8" s="11" t="s">
        <v>31</v>
      </c>
      <c r="O8" s="18" t="s">
        <v>32</v>
      </c>
      <c r="P8" s="11" t="s">
        <v>216</v>
      </c>
      <c r="Q8" s="15" t="s">
        <v>34</v>
      </c>
      <c r="R8" s="13" t="s">
        <v>45</v>
      </c>
      <c r="S8" s="15" t="s">
        <v>99</v>
      </c>
      <c r="T8" s="13" t="s">
        <v>103</v>
      </c>
      <c r="U8" s="42" t="s">
        <v>100</v>
      </c>
      <c r="V8" s="43" t="s">
        <v>15</v>
      </c>
    </row>
    <row r="9" spans="1:22" ht="15" thickBot="1" x14ac:dyDescent="0.35">
      <c r="A9" s="114" t="s">
        <v>47</v>
      </c>
      <c r="B9" s="115"/>
      <c r="D9" s="2" t="s">
        <v>17</v>
      </c>
    </row>
    <row r="10" spans="1:22" ht="155.4" thickBot="1" x14ac:dyDescent="0.35">
      <c r="A10" s="1" t="s">
        <v>15</v>
      </c>
      <c r="B10" s="1" t="s">
        <v>16</v>
      </c>
      <c r="D10" s="47" t="s">
        <v>18</v>
      </c>
      <c r="E10" s="46" t="s">
        <v>120</v>
      </c>
      <c r="F10" s="46" t="s">
        <v>121</v>
      </c>
      <c r="G10" s="46" t="s">
        <v>122</v>
      </c>
      <c r="H10" s="46" t="s">
        <v>123</v>
      </c>
      <c r="I10" s="46" t="s">
        <v>124</v>
      </c>
      <c r="J10" s="46" t="s">
        <v>125</v>
      </c>
      <c r="K10" s="46" t="s">
        <v>126</v>
      </c>
      <c r="L10" s="46" t="s">
        <v>127</v>
      </c>
      <c r="M10" s="46" t="s">
        <v>128</v>
      </c>
      <c r="N10" s="46" t="s">
        <v>129</v>
      </c>
      <c r="O10" s="46" t="s">
        <v>130</v>
      </c>
      <c r="P10" s="46" t="s">
        <v>131</v>
      </c>
      <c r="Q10" s="13" t="s">
        <v>34</v>
      </c>
      <c r="R10" s="13" t="s">
        <v>45</v>
      </c>
      <c r="S10" s="98" t="s">
        <v>99</v>
      </c>
      <c r="T10" s="98" t="s">
        <v>103</v>
      </c>
      <c r="U10" s="99" t="s">
        <v>100</v>
      </c>
      <c r="V10" s="43" t="s">
        <v>15</v>
      </c>
    </row>
    <row r="11" spans="1:22" ht="15" thickBot="1" x14ac:dyDescent="0.35">
      <c r="A11" s="2" t="s">
        <v>0</v>
      </c>
      <c r="B11" s="2">
        <v>20</v>
      </c>
      <c r="D11" s="87" t="s">
        <v>82</v>
      </c>
      <c r="E11" s="86"/>
      <c r="F11" s="86">
        <v>15</v>
      </c>
      <c r="G11" s="86"/>
      <c r="H11" s="86">
        <v>13</v>
      </c>
      <c r="I11" s="86">
        <v>15</v>
      </c>
      <c r="J11" s="86">
        <v>11</v>
      </c>
      <c r="K11" s="86"/>
      <c r="L11" s="86">
        <v>17</v>
      </c>
      <c r="M11" s="86">
        <v>20</v>
      </c>
      <c r="N11" s="86"/>
      <c r="O11" s="86">
        <v>17</v>
      </c>
      <c r="P11" s="87">
        <v>20</v>
      </c>
      <c r="Q11" s="88">
        <f>SUM(Table1[[#This Row],[1]:[12]])</f>
        <v>128</v>
      </c>
      <c r="R11" s="90">
        <f t="shared" ref="R11:R27" si="0">COUNTIF(E11:P11,"&gt;1")</f>
        <v>8</v>
      </c>
      <c r="S11" s="22" t="s">
        <v>102</v>
      </c>
      <c r="T11" s="95" t="str">
        <f>IF(Table1[[#This Row],[Observed? Y or N]]="N", "-20", "0")</f>
        <v>0</v>
      </c>
      <c r="U11" s="95">
        <f>Table1[[#This Row],[Total]]+Table1[[#This Row],[Penalty Applied]]</f>
        <v>128</v>
      </c>
      <c r="V11" s="95" t="s">
        <v>0</v>
      </c>
    </row>
    <row r="12" spans="1:22" x14ac:dyDescent="0.3">
      <c r="A12" s="3" t="s">
        <v>1</v>
      </c>
      <c r="B12" s="3">
        <v>17</v>
      </c>
      <c r="D12" s="50" t="s">
        <v>141</v>
      </c>
      <c r="E12" s="51"/>
      <c r="F12" s="51">
        <v>17</v>
      </c>
      <c r="G12" s="51"/>
      <c r="H12" s="51">
        <v>17</v>
      </c>
      <c r="I12" s="51">
        <v>17</v>
      </c>
      <c r="J12" s="51">
        <v>15</v>
      </c>
      <c r="K12" s="51"/>
      <c r="L12" s="51"/>
      <c r="M12" s="51"/>
      <c r="N12" s="51"/>
      <c r="O12" s="51">
        <v>20</v>
      </c>
      <c r="P12" s="50"/>
      <c r="Q12" s="52">
        <f>SUM(Table1[[#This Row],[1]:[12]])</f>
        <v>86</v>
      </c>
      <c r="R12" s="52">
        <f t="shared" si="0"/>
        <v>5</v>
      </c>
      <c r="S12" s="19" t="s">
        <v>101</v>
      </c>
      <c r="T12" s="54" t="str">
        <f>IF(Table1[[#This Row],[Observed? Y or N]]="N", "-20", "0")</f>
        <v>-20</v>
      </c>
      <c r="U12" s="55">
        <f>Table1[[#This Row],[Total]]+Table1[[#This Row],[Penalty Applied]]</f>
        <v>66</v>
      </c>
      <c r="V12" s="54" t="s">
        <v>1</v>
      </c>
    </row>
    <row r="13" spans="1:22" x14ac:dyDescent="0.3">
      <c r="A13" s="3" t="s">
        <v>2</v>
      </c>
      <c r="B13" s="3">
        <v>15</v>
      </c>
      <c r="D13" s="50" t="s">
        <v>140</v>
      </c>
      <c r="E13" s="51">
        <v>20</v>
      </c>
      <c r="F13" s="51"/>
      <c r="G13" s="51"/>
      <c r="H13" s="51">
        <v>20</v>
      </c>
      <c r="I13" s="51"/>
      <c r="J13" s="51">
        <v>20</v>
      </c>
      <c r="K13" s="51"/>
      <c r="L13" s="51">
        <v>20</v>
      </c>
      <c r="M13" s="51"/>
      <c r="N13" s="51"/>
      <c r="O13" s="51"/>
      <c r="P13" s="50"/>
      <c r="Q13" s="52">
        <f>SUM(Table1[[#This Row],[1]:[12]])</f>
        <v>80</v>
      </c>
      <c r="R13" s="52">
        <f t="shared" si="0"/>
        <v>4</v>
      </c>
      <c r="S13" s="19" t="s">
        <v>101</v>
      </c>
      <c r="T13" s="54" t="str">
        <f>IF(Table1[[#This Row],[Observed? Y or N]]="N", "-20", "0")</f>
        <v>-20</v>
      </c>
      <c r="U13" s="54">
        <f>Table1[[#This Row],[Total]]+Table1[[#This Row],[Penalty Applied]]</f>
        <v>60</v>
      </c>
      <c r="V13" s="54" t="s">
        <v>2</v>
      </c>
    </row>
    <row r="14" spans="1:22" x14ac:dyDescent="0.3">
      <c r="A14" s="3" t="s">
        <v>3</v>
      </c>
      <c r="B14" s="3">
        <v>13</v>
      </c>
      <c r="D14" s="87" t="s">
        <v>81</v>
      </c>
      <c r="E14" s="86">
        <v>17</v>
      </c>
      <c r="F14" s="86"/>
      <c r="G14" s="86"/>
      <c r="H14" s="86">
        <v>15</v>
      </c>
      <c r="I14" s="86"/>
      <c r="J14" s="86"/>
      <c r="K14" s="86">
        <v>17</v>
      </c>
      <c r="L14" s="86"/>
      <c r="M14" s="86"/>
      <c r="N14" s="86"/>
      <c r="O14" s="86"/>
      <c r="P14" s="87"/>
      <c r="Q14" s="90">
        <f>SUM(Table1[[#This Row],[1]:[12]])</f>
        <v>49</v>
      </c>
      <c r="R14" s="52">
        <f t="shared" si="0"/>
        <v>3</v>
      </c>
      <c r="S14" s="19" t="s">
        <v>102</v>
      </c>
      <c r="T14" s="78" t="str">
        <f>IF(Table1[[#This Row],[Observed? Y or N]]="N", "-20", "0")</f>
        <v>0</v>
      </c>
      <c r="U14" s="78">
        <f>Table1[[#This Row],[Total]]+Table1[[#This Row],[Penalty Applied]]</f>
        <v>49</v>
      </c>
      <c r="V14" s="78"/>
    </row>
    <row r="15" spans="1:22" x14ac:dyDescent="0.3">
      <c r="A15" s="3" t="s">
        <v>4</v>
      </c>
      <c r="B15" s="3">
        <v>11</v>
      </c>
      <c r="D15" s="87" t="s">
        <v>173</v>
      </c>
      <c r="E15" s="51"/>
      <c r="F15" s="51"/>
      <c r="G15" s="51"/>
      <c r="H15" s="51"/>
      <c r="I15" s="51"/>
      <c r="J15" s="86">
        <v>17</v>
      </c>
      <c r="K15" s="86">
        <v>20</v>
      </c>
      <c r="L15" s="51"/>
      <c r="M15" s="51"/>
      <c r="N15" s="51"/>
      <c r="O15" s="51"/>
      <c r="P15" s="50"/>
      <c r="Q15" s="52">
        <f>SUM(Table1[[#This Row],[1]:[12]])</f>
        <v>37</v>
      </c>
      <c r="R15" s="52">
        <f t="shared" si="0"/>
        <v>2</v>
      </c>
      <c r="S15" s="19" t="s">
        <v>102</v>
      </c>
      <c r="T15" s="78" t="str">
        <f>IF(Table1[[#This Row],[Observed? Y or N]]="N", "-20", "0")</f>
        <v>0</v>
      </c>
      <c r="U15" s="78">
        <f>Table1[[#This Row],[Total]]+Table1[[#This Row],[Penalty Applied]]</f>
        <v>37</v>
      </c>
      <c r="V15" s="78"/>
    </row>
    <row r="16" spans="1:22" x14ac:dyDescent="0.3">
      <c r="A16" s="3" t="s">
        <v>5</v>
      </c>
      <c r="B16" s="3">
        <v>10</v>
      </c>
      <c r="D16" s="87" t="s">
        <v>163</v>
      </c>
      <c r="E16" s="86"/>
      <c r="F16" s="86"/>
      <c r="G16" s="86"/>
      <c r="H16" s="86"/>
      <c r="I16" s="86">
        <v>20</v>
      </c>
      <c r="J16" s="86"/>
      <c r="K16" s="86"/>
      <c r="L16" s="86"/>
      <c r="M16" s="86"/>
      <c r="N16" s="86"/>
      <c r="O16" s="86"/>
      <c r="P16" s="87"/>
      <c r="Q16" s="90">
        <f>SUM(Table1[[#This Row],[1]:[12]])</f>
        <v>20</v>
      </c>
      <c r="R16" s="90">
        <f t="shared" si="0"/>
        <v>1</v>
      </c>
      <c r="S16" s="19" t="s">
        <v>102</v>
      </c>
      <c r="T16" s="78" t="str">
        <f>IF(Table1[[#This Row],[Observed? Y or N]]="N", "-20", "0")</f>
        <v>0</v>
      </c>
      <c r="U16" s="78">
        <f>Table1[[#This Row],[Total]]+Table1[[#This Row],[Penalty Applied]]</f>
        <v>20</v>
      </c>
      <c r="V16" s="78"/>
    </row>
    <row r="17" spans="1:22" x14ac:dyDescent="0.3">
      <c r="A17" s="3" t="s">
        <v>6</v>
      </c>
      <c r="B17" s="3">
        <v>9</v>
      </c>
      <c r="D17" s="50" t="s">
        <v>199</v>
      </c>
      <c r="E17" s="51"/>
      <c r="F17" s="51">
        <v>20</v>
      </c>
      <c r="G17" s="51"/>
      <c r="H17" s="51"/>
      <c r="I17" s="51"/>
      <c r="J17" s="51"/>
      <c r="K17" s="51"/>
      <c r="L17" s="51"/>
      <c r="M17" s="51"/>
      <c r="N17" s="51"/>
      <c r="O17" s="51"/>
      <c r="P17" s="50"/>
      <c r="Q17" s="52">
        <f>SUM(Table1[[#This Row],[1]:[12]])</f>
        <v>20</v>
      </c>
      <c r="R17" s="52">
        <f t="shared" si="0"/>
        <v>1</v>
      </c>
      <c r="S17" s="19" t="s">
        <v>101</v>
      </c>
      <c r="T17" s="54" t="str">
        <f>IF(Table1[[#This Row],[Observed? Y or N]]="N", "-20", "0")</f>
        <v>-20</v>
      </c>
      <c r="U17" s="54">
        <f>Table1[[#This Row],[Total]]+Table1[[#This Row],[Penalty Applied]]</f>
        <v>0</v>
      </c>
      <c r="V17" s="54"/>
    </row>
    <row r="18" spans="1:22" x14ac:dyDescent="0.3">
      <c r="A18" s="3" t="s">
        <v>7</v>
      </c>
      <c r="B18" s="3">
        <v>8</v>
      </c>
      <c r="D18" s="50" t="s">
        <v>240</v>
      </c>
      <c r="E18" s="51"/>
      <c r="F18" s="51"/>
      <c r="G18" s="51"/>
      <c r="H18" s="51"/>
      <c r="I18" s="51"/>
      <c r="J18" s="51"/>
      <c r="K18" s="51"/>
      <c r="L18" s="51"/>
      <c r="M18" s="51"/>
      <c r="N18" s="51">
        <v>20</v>
      </c>
      <c r="O18" s="51"/>
      <c r="P18" s="50"/>
      <c r="Q18" s="52">
        <f>SUM(Table1[[#This Row],[1]:[12]])</f>
        <v>20</v>
      </c>
      <c r="R18" s="52">
        <f t="shared" si="0"/>
        <v>1</v>
      </c>
      <c r="S18" s="19" t="s">
        <v>101</v>
      </c>
      <c r="T18" s="54" t="str">
        <f>IF(Table1[[#This Row],[Observed? Y or N]]="N", "-20", "0")</f>
        <v>-20</v>
      </c>
      <c r="U18" s="54">
        <f>Table1[[#This Row],[Total]]+Table1[[#This Row],[Penalty Applied]]</f>
        <v>0</v>
      </c>
      <c r="V18" s="54"/>
    </row>
    <row r="19" spans="1:22" x14ac:dyDescent="0.3">
      <c r="A19" s="3" t="s">
        <v>8</v>
      </c>
      <c r="B19" s="3">
        <v>7</v>
      </c>
      <c r="D19" s="50" t="s">
        <v>75</v>
      </c>
      <c r="E19" s="51"/>
      <c r="F19" s="51"/>
      <c r="G19" s="51"/>
      <c r="H19" s="51"/>
      <c r="I19" s="51"/>
      <c r="J19" s="51">
        <v>13</v>
      </c>
      <c r="K19" s="51"/>
      <c r="L19" s="51"/>
      <c r="M19" s="51"/>
      <c r="N19" s="51"/>
      <c r="O19" s="51"/>
      <c r="P19" s="50"/>
      <c r="Q19" s="52">
        <f>SUM(Table1[[#This Row],[1]:[12]])</f>
        <v>13</v>
      </c>
      <c r="R19" s="52">
        <f t="shared" si="0"/>
        <v>1</v>
      </c>
      <c r="S19" s="19" t="s">
        <v>101</v>
      </c>
      <c r="T19" s="54" t="str">
        <f>IF(Table1[[#This Row],[Observed? Y or N]]="N", "-20", "0")</f>
        <v>-20</v>
      </c>
      <c r="U19" s="54">
        <f>Table1[[#This Row],[Total]]+Table1[[#This Row],[Penalty Applied]]</f>
        <v>-7</v>
      </c>
      <c r="V19" s="54"/>
    </row>
    <row r="20" spans="1:22" x14ac:dyDescent="0.3">
      <c r="A20" s="3" t="s">
        <v>9</v>
      </c>
      <c r="B20" s="3">
        <v>6</v>
      </c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0"/>
      <c r="Q20" s="52">
        <f>SUM(Table1[[#This Row],[1]:[12]])</f>
        <v>0</v>
      </c>
      <c r="R20" s="52">
        <f t="shared" si="0"/>
        <v>0</v>
      </c>
      <c r="S20" s="19" t="s">
        <v>101</v>
      </c>
      <c r="T20" s="54" t="str">
        <f>IF(Table1[[#This Row],[Observed? Y or N]]="N", "-20", "0")</f>
        <v>-20</v>
      </c>
      <c r="U20" s="54">
        <f>Table1[[#This Row],[Total]]+Table1[[#This Row],[Penalty Applied]]</f>
        <v>-20</v>
      </c>
      <c r="V20" s="54"/>
    </row>
    <row r="21" spans="1:22" x14ac:dyDescent="0.3">
      <c r="A21" s="3" t="s">
        <v>10</v>
      </c>
      <c r="B21" s="3">
        <v>5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0"/>
      <c r="Q21" s="52">
        <f>SUM(Table1[[#This Row],[1]:[12]])</f>
        <v>0</v>
      </c>
      <c r="R21" s="52">
        <f t="shared" si="0"/>
        <v>0</v>
      </c>
      <c r="S21" s="19" t="s">
        <v>101</v>
      </c>
      <c r="T21" s="54" t="str">
        <f>IF(Table1[[#This Row],[Observed? Y or N]]="N", "-20", "0")</f>
        <v>-20</v>
      </c>
      <c r="U21" s="54">
        <f>Table1[[#This Row],[Total]]+Table1[[#This Row],[Penalty Applied]]</f>
        <v>-20</v>
      </c>
      <c r="V21" s="54"/>
    </row>
    <row r="22" spans="1:22" x14ac:dyDescent="0.3">
      <c r="A22" s="3" t="s">
        <v>11</v>
      </c>
      <c r="B22" s="3">
        <v>4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0"/>
      <c r="Q22" s="52">
        <f>SUM(Table1[[#This Row],[1]:[12]])</f>
        <v>0</v>
      </c>
      <c r="R22" s="52">
        <f t="shared" si="0"/>
        <v>0</v>
      </c>
      <c r="S22" s="19" t="s">
        <v>101</v>
      </c>
      <c r="T22" s="54" t="str">
        <f>IF(Table1[[#This Row],[Observed? Y or N]]="N", "-20", "0")</f>
        <v>-20</v>
      </c>
      <c r="U22" s="54">
        <f>Table1[[#This Row],[Total]]+Table1[[#This Row],[Penalty Applied]]</f>
        <v>-20</v>
      </c>
      <c r="V22" s="54"/>
    </row>
    <row r="23" spans="1:22" x14ac:dyDescent="0.3">
      <c r="A23" s="3" t="s">
        <v>12</v>
      </c>
      <c r="B23" s="3">
        <v>3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0"/>
      <c r="Q23" s="52">
        <f>SUM(Table1[[#This Row],[1]:[12]])</f>
        <v>0</v>
      </c>
      <c r="R23" s="52">
        <f t="shared" si="0"/>
        <v>0</v>
      </c>
      <c r="S23" s="19" t="s">
        <v>101</v>
      </c>
      <c r="T23" s="54" t="str">
        <f>IF(Table1[[#This Row],[Observed? Y or N]]="N", "-20", "0")</f>
        <v>-20</v>
      </c>
      <c r="U23" s="54">
        <f>Table1[[#This Row],[Total]]+Table1[[#This Row],[Penalty Applied]]</f>
        <v>-20</v>
      </c>
      <c r="V23" s="54"/>
    </row>
    <row r="24" spans="1:22" x14ac:dyDescent="0.3">
      <c r="A24" s="3" t="s">
        <v>13</v>
      </c>
      <c r="B24" s="3">
        <v>2</v>
      </c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0"/>
      <c r="Q24" s="52">
        <f>SUM(Table1[[#This Row],[1]:[12]])</f>
        <v>0</v>
      </c>
      <c r="R24" s="52">
        <f t="shared" si="0"/>
        <v>0</v>
      </c>
      <c r="S24" s="19" t="s">
        <v>101</v>
      </c>
      <c r="T24" s="54" t="str">
        <f>IF(Table1[[#This Row],[Observed? Y or N]]="N", "-20", "0")</f>
        <v>-20</v>
      </c>
      <c r="U24" s="54">
        <f>Table1[[#This Row],[Total]]+Table1[[#This Row],[Penalty Applied]]</f>
        <v>-20</v>
      </c>
      <c r="V24" s="54"/>
    </row>
    <row r="25" spans="1:22" ht="15" thickBot="1" x14ac:dyDescent="0.35">
      <c r="A25" s="4" t="s">
        <v>14</v>
      </c>
      <c r="B25" s="4">
        <v>1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0"/>
      <c r="Q25" s="52">
        <f>SUM(Table1[[#This Row],[1]:[12]])</f>
        <v>0</v>
      </c>
      <c r="R25" s="52">
        <f t="shared" si="0"/>
        <v>0</v>
      </c>
      <c r="S25" s="19" t="s">
        <v>101</v>
      </c>
      <c r="T25" s="54" t="str">
        <f>IF(Table1[[#This Row],[Observed? Y or N]]="N", "-20", "0")</f>
        <v>-20</v>
      </c>
      <c r="U25" s="54">
        <f>Table1[[#This Row],[Total]]+Table1[[#This Row],[Penalty Applied]]</f>
        <v>-20</v>
      </c>
      <c r="V25" s="54"/>
    </row>
    <row r="26" spans="1:22" x14ac:dyDescent="0.3"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0"/>
      <c r="Q26" s="52">
        <f>SUM(Table1[[#This Row],[1]:[12]])</f>
        <v>0</v>
      </c>
      <c r="R26" s="52">
        <f t="shared" si="0"/>
        <v>0</v>
      </c>
      <c r="S26" s="19" t="s">
        <v>101</v>
      </c>
      <c r="T26" s="54" t="str">
        <f>IF(Table1[[#This Row],[Observed? Y or N]]="N", "-20", "0")</f>
        <v>-20</v>
      </c>
      <c r="U26" s="54">
        <f>Table1[[#This Row],[Total]]+Table1[[#This Row],[Penalty Applied]]</f>
        <v>-20</v>
      </c>
      <c r="V26" s="54"/>
    </row>
    <row r="27" spans="1:22" ht="15" thickBot="1" x14ac:dyDescent="0.35"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0"/>
      <c r="Q27" s="52">
        <f>SUM(Table1[[#This Row],[1]:[12]])</f>
        <v>0</v>
      </c>
      <c r="R27" s="52">
        <f t="shared" si="0"/>
        <v>0</v>
      </c>
      <c r="S27" s="19" t="s">
        <v>101</v>
      </c>
      <c r="T27" s="54" t="str">
        <f>IF(Table1[[#This Row],[Observed? Y or N]]="N", "-20", "0")</f>
        <v>-20</v>
      </c>
      <c r="U27" s="56">
        <f>Table1[[#This Row],[Total]]+Table1[[#This Row],[Penalty Applied]]</f>
        <v>-20</v>
      </c>
      <c r="V27" s="56"/>
    </row>
    <row r="28" spans="1:22" ht="15" thickBot="1" x14ac:dyDescent="0.35"/>
    <row r="29" spans="1:22" ht="153" thickBot="1" x14ac:dyDescent="0.35">
      <c r="D29" s="47" t="s">
        <v>35</v>
      </c>
      <c r="E29" s="46" t="s">
        <v>120</v>
      </c>
      <c r="F29" s="46" t="s">
        <v>121</v>
      </c>
      <c r="G29" s="46" t="s">
        <v>122</v>
      </c>
      <c r="H29" s="46" t="s">
        <v>123</v>
      </c>
      <c r="I29" s="46" t="s">
        <v>124</v>
      </c>
      <c r="J29" s="46" t="s">
        <v>125</v>
      </c>
      <c r="K29" s="46" t="s">
        <v>126</v>
      </c>
      <c r="L29" s="46" t="s">
        <v>127</v>
      </c>
      <c r="M29" s="46" t="s">
        <v>128</v>
      </c>
      <c r="N29" s="46" t="s">
        <v>129</v>
      </c>
      <c r="O29" s="46" t="s">
        <v>130</v>
      </c>
      <c r="P29" s="46" t="s">
        <v>131</v>
      </c>
      <c r="Q29" s="13" t="s">
        <v>34</v>
      </c>
      <c r="R29" s="13" t="s">
        <v>45</v>
      </c>
      <c r="S29" s="109" t="s">
        <v>99</v>
      </c>
      <c r="T29" s="13" t="s">
        <v>103</v>
      </c>
      <c r="U29" s="43" t="s">
        <v>100</v>
      </c>
      <c r="V29" s="43" t="s">
        <v>15</v>
      </c>
    </row>
    <row r="30" spans="1:22" x14ac:dyDescent="0.3">
      <c r="D30" s="53" t="s">
        <v>212</v>
      </c>
      <c r="E30" s="69"/>
      <c r="F30" s="69"/>
      <c r="G30" s="51"/>
      <c r="H30" s="69"/>
      <c r="I30" s="69"/>
      <c r="J30" s="69"/>
      <c r="K30" s="69"/>
      <c r="L30" s="69">
        <v>20</v>
      </c>
      <c r="M30" s="69"/>
      <c r="N30" s="69">
        <v>20</v>
      </c>
      <c r="O30" s="69">
        <v>17</v>
      </c>
      <c r="P30" s="70"/>
      <c r="Q30" s="53">
        <f>SUM(Table3[[#This Row],[1]:[12]])</f>
        <v>57</v>
      </c>
      <c r="R30" s="53">
        <f t="shared" ref="R30:R43" si="1">COUNTIF(E30:P30,"&gt;1")</f>
        <v>3</v>
      </c>
      <c r="S30" s="22" t="s">
        <v>101</v>
      </c>
      <c r="T30" s="55" t="str">
        <f>IF(Table3[[#This Row],[Observed? Y or N]]="N", "-20", "0")</f>
        <v>-20</v>
      </c>
      <c r="U30" s="54">
        <f>Table3[[#This Row],[Total]]+Table3[[#This Row],[Penalty Applied]]</f>
        <v>37</v>
      </c>
      <c r="V30" s="55" t="s">
        <v>0</v>
      </c>
    </row>
    <row r="31" spans="1:22" x14ac:dyDescent="0.3">
      <c r="D31" s="87" t="s">
        <v>84</v>
      </c>
      <c r="E31" s="97"/>
      <c r="F31" s="97"/>
      <c r="G31" s="86"/>
      <c r="H31" s="97"/>
      <c r="I31" s="97"/>
      <c r="J31" s="97">
        <v>20</v>
      </c>
      <c r="K31" s="97"/>
      <c r="L31" s="97"/>
      <c r="M31" s="97"/>
      <c r="N31" s="97"/>
      <c r="O31" s="97"/>
      <c r="P31" s="87"/>
      <c r="Q31" s="90">
        <f>SUM(Table3[[#This Row],[1]:[12]])</f>
        <v>20</v>
      </c>
      <c r="R31" s="52">
        <f t="shared" si="1"/>
        <v>1</v>
      </c>
      <c r="S31" s="19" t="s">
        <v>102</v>
      </c>
      <c r="T31" s="78" t="str">
        <f>IF(Table3[[#This Row],[Observed? Y or N]]="N", "-20", "0")</f>
        <v>0</v>
      </c>
      <c r="U31" s="78">
        <f>Table3[[#This Row],[Total]]+Table3[[#This Row],[Penalty Applied]]</f>
        <v>20</v>
      </c>
      <c r="V31" s="78" t="s">
        <v>1</v>
      </c>
    </row>
    <row r="32" spans="1:22" x14ac:dyDescent="0.3">
      <c r="D32" s="90" t="s">
        <v>138</v>
      </c>
      <c r="E32" s="86">
        <v>20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90">
        <f>SUM(Table3[[#This Row],[1]:[12]])</f>
        <v>20</v>
      </c>
      <c r="R32" s="94">
        <f t="shared" si="1"/>
        <v>1</v>
      </c>
      <c r="S32" s="19" t="s">
        <v>102</v>
      </c>
      <c r="T32" s="3" t="str">
        <f>IF(Table3[[#This Row],[Observed? Y or N]]="N", "-20", "0")</f>
        <v>0</v>
      </c>
      <c r="U32" s="3">
        <f>Table3[[#This Row],[Total]]+Table3[[#This Row],[Penalty Applied]]</f>
        <v>20</v>
      </c>
      <c r="V32" s="3" t="s">
        <v>2</v>
      </c>
    </row>
    <row r="33" spans="4:22" x14ac:dyDescent="0.3">
      <c r="D33" s="52" t="s">
        <v>251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v>20</v>
      </c>
      <c r="P33" s="50"/>
      <c r="Q33" s="52">
        <f>SUM(Table3[[#This Row],[1]:[12]])</f>
        <v>20</v>
      </c>
      <c r="R33" s="3">
        <f t="shared" si="1"/>
        <v>1</v>
      </c>
      <c r="S33" s="19" t="s">
        <v>101</v>
      </c>
      <c r="T33" s="54" t="str">
        <f>IF(Table3[[#This Row],[Observed? Y or N]]="N", "-20", "0")</f>
        <v>-20</v>
      </c>
      <c r="U33" s="54">
        <f>Table3[[#This Row],[Total]]+Table3[[#This Row],[Penalty Applied]]</f>
        <v>0</v>
      </c>
      <c r="V33" s="54"/>
    </row>
    <row r="34" spans="4:22" x14ac:dyDescent="0.3">
      <c r="D34" s="52" t="s">
        <v>77</v>
      </c>
      <c r="E34" s="51">
        <v>17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0"/>
      <c r="Q34" s="52">
        <f>SUM(Table3[[#This Row],[1]:[12]])</f>
        <v>17</v>
      </c>
      <c r="R34" s="52">
        <f t="shared" si="1"/>
        <v>1</v>
      </c>
      <c r="S34" s="19" t="s">
        <v>101</v>
      </c>
      <c r="T34" s="54" t="str">
        <f>IF(Table3[[#This Row],[Observed? Y or N]]="N", "-20", "0")</f>
        <v>-20</v>
      </c>
      <c r="U34" s="54">
        <f>Table3[[#This Row],[Total]]+Table3[[#This Row],[Penalty Applied]]</f>
        <v>-3</v>
      </c>
      <c r="V34" s="54"/>
    </row>
    <row r="35" spans="4:22" x14ac:dyDescent="0.3">
      <c r="D35" s="50" t="s">
        <v>60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0">
        <v>20</v>
      </c>
      <c r="Q35" s="52">
        <f>SUM(Table3[[#This Row],[1]:[12]])</f>
        <v>20</v>
      </c>
      <c r="R35" s="3">
        <f t="shared" si="1"/>
        <v>1</v>
      </c>
      <c r="S35" s="19" t="s">
        <v>101</v>
      </c>
      <c r="T35" s="54" t="str">
        <f>IF(Table3[[#This Row],[Observed? Y or N]]="N", "-20", "0")</f>
        <v>-20</v>
      </c>
      <c r="U35" s="54">
        <f>Table3[[#This Row],[Total]]+Table3[[#This Row],[Penalty Applied]]</f>
        <v>0</v>
      </c>
      <c r="V35" s="54"/>
    </row>
    <row r="36" spans="4:22" x14ac:dyDescent="0.3">
      <c r="D36" s="3"/>
      <c r="P36" s="19"/>
      <c r="Q36" s="3">
        <f>SUM(Table3[[#This Row],[1]:[12]])</f>
        <v>0</v>
      </c>
      <c r="R36" s="3">
        <f t="shared" si="1"/>
        <v>0</v>
      </c>
      <c r="S36" s="19" t="s">
        <v>101</v>
      </c>
      <c r="T36" s="54" t="str">
        <f>IF(Table3[[#This Row],[Observed? Y or N]]="N", "-20", "0")</f>
        <v>-20</v>
      </c>
      <c r="U36" s="54">
        <f>Table3[[#This Row],[Total]]+Table3[[#This Row],[Penalty Applied]]</f>
        <v>-20</v>
      </c>
      <c r="V36" s="54"/>
    </row>
    <row r="37" spans="4:22" x14ac:dyDescent="0.3">
      <c r="D37" s="19"/>
      <c r="P37" s="19"/>
      <c r="Q37" s="3">
        <f>SUM(Table3[[#This Row],[1]:[12]])</f>
        <v>0</v>
      </c>
      <c r="R37" s="3">
        <f t="shared" si="1"/>
        <v>0</v>
      </c>
      <c r="S37" s="19" t="s">
        <v>101</v>
      </c>
      <c r="T37" s="54" t="str">
        <f>IF(Table3[[#This Row],[Observed? Y or N]]="N", "-20", "0")</f>
        <v>-20</v>
      </c>
      <c r="U37" s="54">
        <f>Table3[[#This Row],[Total]]+Table3[[#This Row],[Penalty Applied]]</f>
        <v>-20</v>
      </c>
      <c r="V37" s="54"/>
    </row>
    <row r="38" spans="4:22" x14ac:dyDescent="0.3">
      <c r="D38" s="19"/>
      <c r="P38" s="19"/>
      <c r="Q38" s="3">
        <f>SUM(Table3[[#This Row],[1]:[12]])</f>
        <v>0</v>
      </c>
      <c r="R38" s="3">
        <f t="shared" si="1"/>
        <v>0</v>
      </c>
      <c r="S38" s="19" t="s">
        <v>101</v>
      </c>
      <c r="T38" s="54" t="str">
        <f>IF(Table3[[#This Row],[Observed? Y or N]]="N", "-20", "0")</f>
        <v>-20</v>
      </c>
      <c r="U38" s="54">
        <f>Table3[[#This Row],[Total]]+Table3[[#This Row],[Penalty Applied]]</f>
        <v>-20</v>
      </c>
      <c r="V38" s="54"/>
    </row>
    <row r="39" spans="4:22" x14ac:dyDescent="0.3">
      <c r="D39" s="19"/>
      <c r="P39" s="19"/>
      <c r="Q39" s="3">
        <f>SUM(Table3[[#This Row],[1]:[12]])</f>
        <v>0</v>
      </c>
      <c r="R39" s="3">
        <f t="shared" si="1"/>
        <v>0</v>
      </c>
      <c r="S39" s="19" t="s">
        <v>101</v>
      </c>
      <c r="T39" s="54" t="str">
        <f>IF(Table3[[#This Row],[Observed? Y or N]]="N", "-20", "0")</f>
        <v>-20</v>
      </c>
      <c r="U39" s="54">
        <f>Table3[[#This Row],[Total]]+Table3[[#This Row],[Penalty Applied]]</f>
        <v>-20</v>
      </c>
      <c r="V39" s="54"/>
    </row>
    <row r="40" spans="4:22" x14ac:dyDescent="0.3">
      <c r="D40" s="19"/>
      <c r="P40" s="19"/>
      <c r="Q40" s="3">
        <f>SUM(Table3[[#This Row],[1]:[12]])</f>
        <v>0</v>
      </c>
      <c r="R40" s="3">
        <f t="shared" si="1"/>
        <v>0</v>
      </c>
      <c r="S40" s="19" t="s">
        <v>101</v>
      </c>
      <c r="T40" s="54" t="str">
        <f>IF(Table3[[#This Row],[Observed? Y or N]]="N", "-20", "0")</f>
        <v>-20</v>
      </c>
      <c r="U40" s="54">
        <f>Table3[[#This Row],[Total]]+Table3[[#This Row],[Penalty Applied]]</f>
        <v>-20</v>
      </c>
      <c r="V40" s="54"/>
    </row>
    <row r="41" spans="4:22" x14ac:dyDescent="0.3">
      <c r="D41" s="3"/>
      <c r="P41" s="19"/>
      <c r="Q41" s="3">
        <f>SUM(Table3[[#This Row],[1]:[12]])</f>
        <v>0</v>
      </c>
      <c r="R41" s="3">
        <f t="shared" si="1"/>
        <v>0</v>
      </c>
      <c r="S41" s="19" t="s">
        <v>101</v>
      </c>
      <c r="T41" s="54" t="str">
        <f>IF(Table3[[#This Row],[Observed? Y or N]]="N", "-20", "0")</f>
        <v>-20</v>
      </c>
      <c r="U41" s="54">
        <f>Table3[[#This Row],[Total]]+Table3[[#This Row],[Penalty Applied]]</f>
        <v>-20</v>
      </c>
      <c r="V41" s="54"/>
    </row>
    <row r="42" spans="4:22" x14ac:dyDescent="0.3">
      <c r="D42" s="19"/>
      <c r="P42" s="19"/>
      <c r="Q42" s="3">
        <f>SUM(Table3[[#This Row],[1]:[12]])</f>
        <v>0</v>
      </c>
      <c r="R42" s="3">
        <f t="shared" si="1"/>
        <v>0</v>
      </c>
      <c r="S42" s="19" t="s">
        <v>101</v>
      </c>
      <c r="T42" s="54" t="str">
        <f>IF(Table3[[#This Row],[Observed? Y or N]]="N", "-20", "0")</f>
        <v>-20</v>
      </c>
      <c r="U42" s="54">
        <f>Table3[[#This Row],[Total]]+Table3[[#This Row],[Penalty Applied]]</f>
        <v>-20</v>
      </c>
      <c r="V42" s="54"/>
    </row>
    <row r="43" spans="4:22" ht="15" thickBot="1" x14ac:dyDescent="0.35"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1"/>
      <c r="Q43" s="4">
        <f>SUM(Table3[[#This Row],[1]:[12]])</f>
        <v>0</v>
      </c>
      <c r="R43" s="4">
        <f t="shared" si="1"/>
        <v>0</v>
      </c>
      <c r="S43" s="19" t="s">
        <v>101</v>
      </c>
      <c r="T43" s="56" t="str">
        <f>IF(Table3[[#This Row],[Observed? Y or N]]="N", "-20", "0")</f>
        <v>-20</v>
      </c>
      <c r="U43" s="54">
        <f>Table3[[#This Row],[Total]]+Table3[[#This Row],[Penalty Applied]]</f>
        <v>-20</v>
      </c>
      <c r="V43" s="56"/>
    </row>
    <row r="44" spans="4:22" x14ac:dyDescent="0.3">
      <c r="D44" s="19"/>
      <c r="P44" s="19"/>
      <c r="Q44" s="3"/>
    </row>
    <row r="45" spans="4:22" ht="15" thickBot="1" x14ac:dyDescent="0.35"/>
    <row r="46" spans="4:22" ht="153" thickBot="1" x14ac:dyDescent="0.35">
      <c r="D46" s="47" t="s">
        <v>36</v>
      </c>
      <c r="E46" s="46" t="s">
        <v>120</v>
      </c>
      <c r="F46" s="46" t="s">
        <v>121</v>
      </c>
      <c r="G46" s="46" t="s">
        <v>122</v>
      </c>
      <c r="H46" s="46" t="s">
        <v>123</v>
      </c>
      <c r="I46" s="46" t="s">
        <v>124</v>
      </c>
      <c r="J46" s="46" t="s">
        <v>125</v>
      </c>
      <c r="K46" s="46" t="s">
        <v>126</v>
      </c>
      <c r="L46" s="46" t="s">
        <v>127</v>
      </c>
      <c r="M46" s="46" t="s">
        <v>128</v>
      </c>
      <c r="N46" s="46" t="s">
        <v>129</v>
      </c>
      <c r="O46" s="46" t="s">
        <v>130</v>
      </c>
      <c r="P46" s="46" t="s">
        <v>131</v>
      </c>
      <c r="Q46" s="13" t="s">
        <v>34</v>
      </c>
      <c r="R46" s="13" t="s">
        <v>45</v>
      </c>
      <c r="S46" s="109" t="s">
        <v>99</v>
      </c>
      <c r="T46" s="13" t="s">
        <v>103</v>
      </c>
      <c r="U46" s="43" t="s">
        <v>100</v>
      </c>
      <c r="V46" s="43" t="s">
        <v>15</v>
      </c>
    </row>
    <row r="47" spans="4:22" x14ac:dyDescent="0.3">
      <c r="D47" s="88" t="s">
        <v>61</v>
      </c>
      <c r="E47" s="96">
        <v>20</v>
      </c>
      <c r="F47" s="96"/>
      <c r="G47" s="96"/>
      <c r="H47" s="96">
        <v>10</v>
      </c>
      <c r="I47" s="96"/>
      <c r="J47" s="96">
        <v>11</v>
      </c>
      <c r="K47" s="96">
        <v>15</v>
      </c>
      <c r="L47" s="96">
        <v>9</v>
      </c>
      <c r="M47" s="96">
        <v>15</v>
      </c>
      <c r="N47" s="96">
        <v>5</v>
      </c>
      <c r="O47" s="96">
        <v>15</v>
      </c>
      <c r="P47" s="85">
        <v>9</v>
      </c>
      <c r="Q47" s="24">
        <f>SUM(Table4[[#This Row],[1]:[12]])</f>
        <v>109</v>
      </c>
      <c r="R47" s="2">
        <f t="shared" ref="R47:R87" si="2">COUNTIF(E47:P47,"&gt;1")</f>
        <v>9</v>
      </c>
      <c r="S47" s="22" t="s">
        <v>102</v>
      </c>
      <c r="T47" s="95" t="str">
        <f>IF(Table4[[#This Row],[Observed? Y or N]]="N", "-20", "0")</f>
        <v>0</v>
      </c>
      <c r="U47" s="95">
        <f>(109-5)</f>
        <v>104</v>
      </c>
      <c r="V47" s="95" t="s">
        <v>0</v>
      </c>
    </row>
    <row r="48" spans="4:22" x14ac:dyDescent="0.3">
      <c r="D48" s="90" t="s">
        <v>83</v>
      </c>
      <c r="E48" s="97"/>
      <c r="F48" s="97">
        <v>15</v>
      </c>
      <c r="G48" s="97"/>
      <c r="H48" s="97">
        <v>13</v>
      </c>
      <c r="I48" s="97">
        <v>17</v>
      </c>
      <c r="J48" s="97">
        <v>8</v>
      </c>
      <c r="K48" s="97">
        <v>13</v>
      </c>
      <c r="L48" s="97">
        <v>10</v>
      </c>
      <c r="M48" s="97"/>
      <c r="N48" s="97">
        <v>6</v>
      </c>
      <c r="O48" s="97">
        <v>10</v>
      </c>
      <c r="P48" s="87">
        <v>11</v>
      </c>
      <c r="Q48" s="89">
        <f>SUM(Table4[[#This Row],[1]:[12]])</f>
        <v>103</v>
      </c>
      <c r="R48" s="90">
        <f t="shared" si="2"/>
        <v>9</v>
      </c>
      <c r="S48" s="19" t="s">
        <v>102</v>
      </c>
      <c r="T48" s="3" t="str">
        <f>IF(Table4[[#This Row],[Observed? Y or N]]="N", "-20", "0")</f>
        <v>0</v>
      </c>
      <c r="U48" s="3">
        <f>103-6</f>
        <v>97</v>
      </c>
      <c r="V48" s="3" t="s">
        <v>1</v>
      </c>
    </row>
    <row r="49" spans="4:22" x14ac:dyDescent="0.3">
      <c r="D49" s="52" t="s">
        <v>116</v>
      </c>
      <c r="E49" s="51"/>
      <c r="F49" s="51"/>
      <c r="G49" s="51"/>
      <c r="H49" s="51">
        <v>8</v>
      </c>
      <c r="I49" s="51">
        <v>15</v>
      </c>
      <c r="J49" s="51">
        <v>15</v>
      </c>
      <c r="K49" s="51">
        <v>17</v>
      </c>
      <c r="L49" s="51">
        <v>20</v>
      </c>
      <c r="M49" s="51"/>
      <c r="N49" s="51"/>
      <c r="O49" s="51">
        <v>20</v>
      </c>
      <c r="P49" s="50">
        <v>17</v>
      </c>
      <c r="Q49" s="57">
        <f>SUM(Table4[[#This Row],[1]:[12]])</f>
        <v>112</v>
      </c>
      <c r="R49" s="52">
        <f t="shared" si="2"/>
        <v>7</v>
      </c>
      <c r="S49" s="19" t="s">
        <v>101</v>
      </c>
      <c r="T49" s="54" t="str">
        <f>IF(Table4[[#This Row],[Observed? Y or N]]="N", "-20", "0")</f>
        <v>-20</v>
      </c>
      <c r="U49" s="54">
        <f>Table4[[#This Row],[Total]]+Table4[[#This Row],[Penalty Applied]]</f>
        <v>92</v>
      </c>
      <c r="V49" s="54" t="s">
        <v>2</v>
      </c>
    </row>
    <row r="50" spans="4:22" x14ac:dyDescent="0.3">
      <c r="D50" s="90" t="s">
        <v>84</v>
      </c>
      <c r="E50" s="86"/>
      <c r="F50" s="86"/>
      <c r="G50" s="86"/>
      <c r="H50" s="86">
        <v>11</v>
      </c>
      <c r="I50" s="86">
        <v>13</v>
      </c>
      <c r="J50" s="86"/>
      <c r="K50" s="86">
        <v>20</v>
      </c>
      <c r="L50" s="86">
        <v>15</v>
      </c>
      <c r="M50" s="86"/>
      <c r="N50" s="86">
        <v>20</v>
      </c>
      <c r="O50" s="86">
        <v>11</v>
      </c>
      <c r="P50" s="87"/>
      <c r="Q50" s="89">
        <f>SUM(Table4[[#This Row],[1]:[12]])</f>
        <v>90</v>
      </c>
      <c r="R50" s="90">
        <f t="shared" si="2"/>
        <v>6</v>
      </c>
      <c r="S50" s="87" t="s">
        <v>102</v>
      </c>
      <c r="T50" s="78" t="str">
        <f>IF(Table4[[#This Row],[Observed? Y or N]]="N", "-20", "0")</f>
        <v>0</v>
      </c>
      <c r="U50" s="78">
        <f>Table4[[#This Row],[Total]]+Table4[[#This Row],[Penalty Applied]]</f>
        <v>90</v>
      </c>
      <c r="V50" s="78"/>
    </row>
    <row r="51" spans="4:22" x14ac:dyDescent="0.3">
      <c r="D51" s="87" t="s">
        <v>145</v>
      </c>
      <c r="E51" s="86">
        <v>15</v>
      </c>
      <c r="F51" s="86">
        <v>11</v>
      </c>
      <c r="G51" s="86"/>
      <c r="H51" s="86">
        <v>6</v>
      </c>
      <c r="I51" s="86">
        <v>8</v>
      </c>
      <c r="J51" s="86"/>
      <c r="K51" s="86"/>
      <c r="L51" s="86"/>
      <c r="M51" s="86">
        <v>11</v>
      </c>
      <c r="N51" s="86">
        <v>2</v>
      </c>
      <c r="O51" s="86">
        <v>9</v>
      </c>
      <c r="P51" s="87">
        <v>6</v>
      </c>
      <c r="Q51" s="89">
        <f>SUM(Table4[[#This Row],[1]:[12]])</f>
        <v>68</v>
      </c>
      <c r="R51" s="90">
        <f t="shared" si="2"/>
        <v>8</v>
      </c>
      <c r="S51" s="19" t="s">
        <v>102</v>
      </c>
      <c r="T51" s="3" t="str">
        <f>IF(Table4[[#This Row],[Observed? Y or N]]="N", "-20", "0")</f>
        <v>0</v>
      </c>
      <c r="U51" s="3">
        <f>Table4[[#This Row],[Total]]+Table4[[#This Row],[Penalty Applied]]</f>
        <v>68</v>
      </c>
      <c r="V51" s="3"/>
    </row>
    <row r="52" spans="4:22" x14ac:dyDescent="0.3">
      <c r="D52" s="90" t="s">
        <v>85</v>
      </c>
      <c r="E52" s="86"/>
      <c r="F52" s="86">
        <v>10</v>
      </c>
      <c r="G52" s="86"/>
      <c r="H52" s="86">
        <v>5</v>
      </c>
      <c r="I52" s="86">
        <v>5</v>
      </c>
      <c r="J52" s="86">
        <v>7</v>
      </c>
      <c r="K52" s="86">
        <v>9</v>
      </c>
      <c r="L52" s="86"/>
      <c r="M52" s="86">
        <v>17</v>
      </c>
      <c r="N52" s="86">
        <v>4</v>
      </c>
      <c r="O52" s="86"/>
      <c r="P52" s="87">
        <v>5</v>
      </c>
      <c r="Q52" s="89">
        <f>SUM(Table4[[#This Row],[1]:[12]])</f>
        <v>62</v>
      </c>
      <c r="R52" s="90">
        <f t="shared" si="2"/>
        <v>8</v>
      </c>
      <c r="S52" s="19" t="s">
        <v>102</v>
      </c>
      <c r="T52" s="3" t="str">
        <f>IF(Table4[[#This Row],[Observed? Y or N]]="N", "-20", "0")</f>
        <v>0</v>
      </c>
      <c r="U52" s="3">
        <f>Table4[[#This Row],[Total]]+Table4[[#This Row],[Penalty Applied]]</f>
        <v>62</v>
      </c>
      <c r="V52" s="3"/>
    </row>
    <row r="53" spans="4:22" x14ac:dyDescent="0.3">
      <c r="D53" s="90" t="s">
        <v>104</v>
      </c>
      <c r="E53" s="86"/>
      <c r="F53" s="86">
        <v>6</v>
      </c>
      <c r="G53" s="86"/>
      <c r="H53" s="86"/>
      <c r="I53" s="86"/>
      <c r="J53" s="86">
        <v>6</v>
      </c>
      <c r="K53" s="86">
        <v>11</v>
      </c>
      <c r="L53" s="86">
        <v>11</v>
      </c>
      <c r="M53" s="86">
        <v>13</v>
      </c>
      <c r="N53" s="86"/>
      <c r="O53" s="86">
        <v>8</v>
      </c>
      <c r="P53" s="87">
        <v>3</v>
      </c>
      <c r="Q53" s="89">
        <f>SUM(Table4[[#This Row],[1]:[12]])</f>
        <v>58</v>
      </c>
      <c r="R53" s="90">
        <f t="shared" si="2"/>
        <v>7</v>
      </c>
      <c r="S53" s="19" t="s">
        <v>102</v>
      </c>
      <c r="T53" s="78" t="str">
        <f>IF(Table4[[#This Row],[Observed? Y or N]]="N", "-20", "0")</f>
        <v>0</v>
      </c>
      <c r="U53" s="78">
        <f>Table4[[#This Row],[Total]]+Table4[[#This Row],[Penalty Applied]]</f>
        <v>58</v>
      </c>
      <c r="V53" s="78"/>
    </row>
    <row r="54" spans="4:22" x14ac:dyDescent="0.3">
      <c r="D54" s="50" t="s">
        <v>59</v>
      </c>
      <c r="E54" s="51"/>
      <c r="F54" s="51">
        <v>17</v>
      </c>
      <c r="G54" s="51"/>
      <c r="H54" s="51">
        <v>15</v>
      </c>
      <c r="I54" s="51">
        <v>11</v>
      </c>
      <c r="J54" s="51">
        <v>13</v>
      </c>
      <c r="K54" s="51"/>
      <c r="L54" s="51"/>
      <c r="M54" s="51"/>
      <c r="N54" s="51"/>
      <c r="O54" s="51"/>
      <c r="P54" s="50">
        <v>20</v>
      </c>
      <c r="Q54" s="57">
        <f>SUM(Table4[[#This Row],[1]:[12]])</f>
        <v>76</v>
      </c>
      <c r="R54" s="52">
        <f t="shared" si="2"/>
        <v>5</v>
      </c>
      <c r="S54" s="19" t="s">
        <v>101</v>
      </c>
      <c r="T54" s="54" t="str">
        <f>IF(Table4[[#This Row],[Observed? Y or N]]="N", "-20", "0")</f>
        <v>-20</v>
      </c>
      <c r="U54" s="54">
        <f>Table4[[#This Row],[Total]]+Table4[[#This Row],[Penalty Applied]]</f>
        <v>56</v>
      </c>
      <c r="V54" s="54" t="s">
        <v>2</v>
      </c>
    </row>
    <row r="55" spans="4:22" x14ac:dyDescent="0.3">
      <c r="D55" s="87" t="s">
        <v>175</v>
      </c>
      <c r="E55" s="86"/>
      <c r="F55" s="86"/>
      <c r="G55" s="86"/>
      <c r="H55" s="86"/>
      <c r="I55" s="86"/>
      <c r="J55" s="86">
        <v>17</v>
      </c>
      <c r="K55" s="86">
        <v>10</v>
      </c>
      <c r="L55" s="86"/>
      <c r="M55" s="86"/>
      <c r="N55" s="86">
        <v>9</v>
      </c>
      <c r="O55" s="86"/>
      <c r="P55" s="87"/>
      <c r="Q55" s="89">
        <f>SUM(Table4[[#This Row],[1]:[12]])</f>
        <v>36</v>
      </c>
      <c r="R55" s="90">
        <f t="shared" si="2"/>
        <v>3</v>
      </c>
      <c r="S55" s="19" t="s">
        <v>102</v>
      </c>
      <c r="T55" s="78" t="str">
        <f>IF(Table4[[#This Row],[Observed? Y or N]]="N", "-20", "0")</f>
        <v>0</v>
      </c>
      <c r="U55" s="78">
        <f>Table4[[#This Row],[Total]]+Table4[[#This Row],[Penalty Applied]]</f>
        <v>36</v>
      </c>
      <c r="V55" s="78"/>
    </row>
    <row r="56" spans="4:22" x14ac:dyDescent="0.3">
      <c r="D56" s="87" t="s">
        <v>63</v>
      </c>
      <c r="E56" s="86"/>
      <c r="F56" s="86">
        <v>5</v>
      </c>
      <c r="G56" s="86"/>
      <c r="H56" s="86">
        <v>3</v>
      </c>
      <c r="I56" s="86">
        <v>4</v>
      </c>
      <c r="J56" s="86">
        <v>5</v>
      </c>
      <c r="K56" s="86"/>
      <c r="L56" s="86">
        <v>6</v>
      </c>
      <c r="M56" s="86"/>
      <c r="N56" s="86">
        <v>1</v>
      </c>
      <c r="O56" s="86"/>
      <c r="P56" s="87">
        <v>7</v>
      </c>
      <c r="Q56" s="20">
        <f>SUM(Table4[[#This Row],[1]:[12]])</f>
        <v>31</v>
      </c>
      <c r="R56" s="3">
        <f t="shared" si="2"/>
        <v>6</v>
      </c>
      <c r="S56" s="19" t="s">
        <v>102</v>
      </c>
      <c r="T56" s="78" t="str">
        <f>IF(Table4[[#This Row],[Observed? Y or N]]="N", "-20", "0")</f>
        <v>0</v>
      </c>
      <c r="U56" s="78">
        <f>Table4[[#This Row],[Total]]+Table4[[#This Row],[Penalty Applied]]</f>
        <v>31</v>
      </c>
      <c r="V56" s="78"/>
    </row>
    <row r="57" spans="4:22" x14ac:dyDescent="0.3">
      <c r="D57" s="50" t="s">
        <v>106</v>
      </c>
      <c r="E57" s="51"/>
      <c r="F57" s="51"/>
      <c r="G57" s="51"/>
      <c r="H57" s="51"/>
      <c r="I57" s="51">
        <v>9</v>
      </c>
      <c r="J57" s="51"/>
      <c r="K57" s="51"/>
      <c r="L57" s="51"/>
      <c r="M57" s="51">
        <v>20</v>
      </c>
      <c r="N57" s="51">
        <v>17</v>
      </c>
      <c r="O57" s="51"/>
      <c r="P57" s="50"/>
      <c r="Q57" s="20">
        <f>SUM(Table4[[#This Row],[1]:[12]])</f>
        <v>46</v>
      </c>
      <c r="R57" s="3">
        <f t="shared" si="2"/>
        <v>3</v>
      </c>
      <c r="S57" s="19" t="s">
        <v>101</v>
      </c>
      <c r="T57" s="54" t="str">
        <f>IF(Table4[[#This Row],[Observed? Y or N]]="N", "-20", "0")</f>
        <v>-20</v>
      </c>
      <c r="U57" s="54">
        <f>Table4[[#This Row],[Total]]+Table4[[#This Row],[Penalty Applied]]</f>
        <v>26</v>
      </c>
      <c r="V57" s="54"/>
    </row>
    <row r="58" spans="4:22" x14ac:dyDescent="0.3">
      <c r="D58" s="50" t="s">
        <v>60</v>
      </c>
      <c r="E58" s="51"/>
      <c r="F58" s="51"/>
      <c r="G58" s="51"/>
      <c r="H58" s="51"/>
      <c r="I58" s="51">
        <v>20</v>
      </c>
      <c r="J58" s="51"/>
      <c r="K58" s="51"/>
      <c r="L58" s="51">
        <v>7</v>
      </c>
      <c r="M58" s="51"/>
      <c r="N58" s="51"/>
      <c r="O58" s="51">
        <v>17</v>
      </c>
      <c r="P58" s="50"/>
      <c r="Q58" s="20">
        <f>SUM(Table4[[#This Row],[1]:[12]])</f>
        <v>44</v>
      </c>
      <c r="R58" s="3">
        <f t="shared" si="2"/>
        <v>3</v>
      </c>
      <c r="S58" s="19" t="s">
        <v>101</v>
      </c>
      <c r="T58" s="54" t="str">
        <f>IF(Table4[[#This Row],[Observed? Y or N]]="N", "-20", "0")</f>
        <v>-20</v>
      </c>
      <c r="U58" s="54">
        <f>Table4[[#This Row],[Total]]+Table4[[#This Row],[Penalty Applied]]</f>
        <v>24</v>
      </c>
      <c r="V58" s="54"/>
    </row>
    <row r="59" spans="4:22" x14ac:dyDescent="0.3">
      <c r="D59" s="87" t="s">
        <v>188</v>
      </c>
      <c r="E59" s="86">
        <v>17</v>
      </c>
      <c r="F59" s="86"/>
      <c r="G59" s="86"/>
      <c r="H59" s="86"/>
      <c r="I59" s="86"/>
      <c r="J59" s="86"/>
      <c r="K59" s="86"/>
      <c r="L59" s="86"/>
      <c r="M59" s="86"/>
      <c r="N59" s="86">
        <v>7</v>
      </c>
      <c r="O59" s="86"/>
      <c r="P59" s="87"/>
      <c r="Q59" s="89">
        <f>SUM(Table4[[#This Row],[1]:[12]])</f>
        <v>24</v>
      </c>
      <c r="R59" s="90">
        <f t="shared" si="2"/>
        <v>2</v>
      </c>
      <c r="S59" s="19" t="s">
        <v>102</v>
      </c>
      <c r="T59" s="78" t="str">
        <f>IF(Table4[[#This Row],[Observed? Y or N]]="N", "-20", "0")</f>
        <v>0</v>
      </c>
      <c r="U59" s="78">
        <f>Table4[[#This Row],[Total]]+Table4[[#This Row],[Penalty Applied]]</f>
        <v>24</v>
      </c>
      <c r="V59" s="78"/>
    </row>
    <row r="60" spans="4:22" x14ac:dyDescent="0.3">
      <c r="D60" s="52" t="s">
        <v>64</v>
      </c>
      <c r="E60" s="51"/>
      <c r="F60" s="51">
        <v>20</v>
      </c>
      <c r="G60" s="51"/>
      <c r="H60" s="51">
        <v>4</v>
      </c>
      <c r="I60" s="51">
        <v>10</v>
      </c>
      <c r="J60" s="51">
        <v>9</v>
      </c>
      <c r="K60" s="51"/>
      <c r="L60" s="51"/>
      <c r="M60" s="51"/>
      <c r="N60" s="51"/>
      <c r="O60" s="51"/>
      <c r="P60" s="50"/>
      <c r="Q60" s="20">
        <f>SUM(Table4[[#This Row],[1]:[12]])</f>
        <v>43</v>
      </c>
      <c r="R60" s="3">
        <f t="shared" si="2"/>
        <v>4</v>
      </c>
      <c r="S60" s="19" t="s">
        <v>101</v>
      </c>
      <c r="T60" s="54" t="str">
        <f>IF(Table4[[#This Row],[Observed? Y or N]]="N", "-20", "0")</f>
        <v>-20</v>
      </c>
      <c r="U60" s="54">
        <f>Table4[[#This Row],[Total]]+Table4[[#This Row],[Penalty Applied]]</f>
        <v>23</v>
      </c>
      <c r="V60" s="54"/>
    </row>
    <row r="61" spans="4:22" ht="16.5" customHeight="1" x14ac:dyDescent="0.3">
      <c r="D61" s="50" t="s">
        <v>174</v>
      </c>
      <c r="E61" s="51"/>
      <c r="F61" s="51"/>
      <c r="G61" s="51"/>
      <c r="H61" s="51"/>
      <c r="I61" s="51"/>
      <c r="J61" s="51">
        <v>20</v>
      </c>
      <c r="K61" s="51"/>
      <c r="L61" s="51"/>
      <c r="M61" s="51"/>
      <c r="N61" s="51"/>
      <c r="O61" s="51">
        <v>13</v>
      </c>
      <c r="P61" s="50"/>
      <c r="Q61" s="57">
        <f>SUM(Table4[[#This Row],[1]:[12]])</f>
        <v>33</v>
      </c>
      <c r="R61" s="52">
        <f t="shared" si="2"/>
        <v>2</v>
      </c>
      <c r="S61" s="19" t="s">
        <v>101</v>
      </c>
      <c r="T61" s="54" t="str">
        <f>IF(Table4[[#This Row],[Observed? Y or N]]="N", "-20", "0")</f>
        <v>-20</v>
      </c>
      <c r="U61" s="54">
        <f>Table4[[#This Row],[Total]]+Table4[[#This Row],[Penalty Applied]]</f>
        <v>13</v>
      </c>
      <c r="V61" s="54"/>
    </row>
    <row r="62" spans="4:22" x14ac:dyDescent="0.3">
      <c r="D62" s="104" t="s">
        <v>242</v>
      </c>
      <c r="E62" s="92"/>
      <c r="F62" s="92"/>
      <c r="G62" s="92"/>
      <c r="H62" s="92"/>
      <c r="I62" s="92"/>
      <c r="J62" s="92"/>
      <c r="K62" s="92"/>
      <c r="L62" s="92"/>
      <c r="M62" s="92"/>
      <c r="N62" s="92">
        <v>10</v>
      </c>
      <c r="O62" s="92"/>
      <c r="P62" s="91"/>
      <c r="Q62" s="93">
        <f>SUM(Table4[[#This Row],[1]:[12]])</f>
        <v>10</v>
      </c>
      <c r="R62" s="94">
        <f t="shared" si="2"/>
        <v>1</v>
      </c>
      <c r="S62" s="19" t="s">
        <v>102</v>
      </c>
      <c r="T62" s="78" t="str">
        <f>IF(Table4[[#This Row],[Observed? Y or N]]="N", "-20", "0")</f>
        <v>0</v>
      </c>
      <c r="U62" s="63">
        <f>Table4[[#This Row],[Total]]+Table4[[#This Row],[Penalty Applied]]</f>
        <v>10</v>
      </c>
      <c r="V62" s="78"/>
    </row>
    <row r="63" spans="4:22" x14ac:dyDescent="0.3">
      <c r="D63" s="52" t="s">
        <v>117</v>
      </c>
      <c r="E63" s="81"/>
      <c r="F63" s="81">
        <v>9</v>
      </c>
      <c r="G63" s="81"/>
      <c r="H63" s="81">
        <v>20</v>
      </c>
      <c r="I63" s="81"/>
      <c r="J63" s="81"/>
      <c r="K63" s="81"/>
      <c r="L63" s="81"/>
      <c r="M63" s="81"/>
      <c r="N63" s="81"/>
      <c r="O63" s="81"/>
      <c r="P63" s="50"/>
      <c r="Q63" s="57">
        <f>SUM(Table4[[#This Row],[1]:[12]])</f>
        <v>29</v>
      </c>
      <c r="R63" s="52">
        <f t="shared" si="2"/>
        <v>2</v>
      </c>
      <c r="S63" s="19" t="s">
        <v>101</v>
      </c>
      <c r="T63" s="54" t="str">
        <f>IF(Table4[[#This Row],[Observed? Y or N]]="N", "-20", "0")</f>
        <v>-20</v>
      </c>
      <c r="U63" s="54">
        <f>Table4[[#This Row],[Total]]+Table4[[#This Row],[Penalty Applied]]</f>
        <v>9</v>
      </c>
      <c r="V63" s="54" t="s">
        <v>0</v>
      </c>
    </row>
    <row r="64" spans="4:22" x14ac:dyDescent="0.3">
      <c r="D64" s="87" t="s">
        <v>164</v>
      </c>
      <c r="E64" s="86"/>
      <c r="F64" s="86"/>
      <c r="G64" s="86"/>
      <c r="H64" s="86"/>
      <c r="I64" s="86">
        <v>7</v>
      </c>
      <c r="J64" s="86"/>
      <c r="K64" s="86"/>
      <c r="L64" s="86"/>
      <c r="M64" s="86"/>
      <c r="N64" s="86"/>
      <c r="O64" s="86"/>
      <c r="P64" s="87"/>
      <c r="Q64" s="89">
        <f>SUM(Table4[[#This Row],[1]:[12]])</f>
        <v>7</v>
      </c>
      <c r="R64" s="90">
        <f t="shared" si="2"/>
        <v>1</v>
      </c>
      <c r="S64" s="19" t="s">
        <v>102</v>
      </c>
      <c r="T64" s="78" t="str">
        <f>IF(Table4[[#This Row],[Observed? Y or N]]="N", "-20", "0")</f>
        <v>0</v>
      </c>
      <c r="U64" s="78">
        <f>Table4[[#This Row],[Total]]+Table4[[#This Row],[Penalty Applied]]</f>
        <v>7</v>
      </c>
      <c r="V64" s="78"/>
    </row>
    <row r="65" spans="4:22" x14ac:dyDescent="0.3">
      <c r="D65" s="87" t="s">
        <v>96</v>
      </c>
      <c r="E65" s="86"/>
      <c r="F65" s="86">
        <v>7</v>
      </c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9">
        <f>SUM(Table4[[#This Row],[1]:[12]])</f>
        <v>7</v>
      </c>
      <c r="R65" s="90">
        <f t="shared" si="2"/>
        <v>1</v>
      </c>
      <c r="S65" s="19" t="s">
        <v>102</v>
      </c>
      <c r="T65" s="78" t="str">
        <f>IF(Table4[[#This Row],[Observed? Y or N]]="N", "-20", "0")</f>
        <v>0</v>
      </c>
      <c r="U65" s="78">
        <f>Table4[[#This Row],[Total]]+Table4[[#This Row],[Penalty Applied]]</f>
        <v>7</v>
      </c>
      <c r="V65" s="78"/>
    </row>
    <row r="66" spans="4:22" x14ac:dyDescent="0.3">
      <c r="D66" s="50" t="s">
        <v>143</v>
      </c>
      <c r="E66" s="51"/>
      <c r="F66" s="51">
        <v>13</v>
      </c>
      <c r="G66" s="51"/>
      <c r="H66" s="51">
        <v>9</v>
      </c>
      <c r="I66" s="51"/>
      <c r="J66" s="51"/>
      <c r="K66" s="51"/>
      <c r="L66" s="51"/>
      <c r="M66" s="51"/>
      <c r="N66" s="51"/>
      <c r="O66" s="51"/>
      <c r="P66" s="50"/>
      <c r="Q66" s="57">
        <f>SUM(Table4[[#This Row],[1]:[12]])</f>
        <v>22</v>
      </c>
      <c r="R66" s="52">
        <f t="shared" si="2"/>
        <v>2</v>
      </c>
      <c r="S66" s="19" t="s">
        <v>101</v>
      </c>
      <c r="T66" s="54" t="str">
        <f>IF(Table4[[#This Row],[Observed? Y or N]]="N", "-20", "0")</f>
        <v>-20</v>
      </c>
      <c r="U66" s="54">
        <f>Table4[[#This Row],[Total]]+Table4[[#This Row],[Penalty Applied]]</f>
        <v>2</v>
      </c>
      <c r="V66" s="54"/>
    </row>
    <row r="67" spans="4:22" x14ac:dyDescent="0.3">
      <c r="D67" s="72" t="s">
        <v>219</v>
      </c>
      <c r="E67" s="73"/>
      <c r="F67" s="73"/>
      <c r="G67" s="73"/>
      <c r="H67" s="73"/>
      <c r="I67" s="73"/>
      <c r="J67" s="73"/>
      <c r="K67" s="73"/>
      <c r="L67" s="73">
        <v>8</v>
      </c>
      <c r="M67" s="73"/>
      <c r="N67" s="73"/>
      <c r="O67" s="73">
        <v>6</v>
      </c>
      <c r="P67" s="72">
        <v>8</v>
      </c>
      <c r="Q67" s="74">
        <f>SUM(Table4[[#This Row],[1]:[12]])</f>
        <v>22</v>
      </c>
      <c r="R67" s="71">
        <f t="shared" si="2"/>
        <v>3</v>
      </c>
      <c r="S67" s="19" t="s">
        <v>101</v>
      </c>
      <c r="T67" s="76" t="str">
        <f>IF(Table4[[#This Row],[Observed? Y or N]]="N", "-20", "0")</f>
        <v>-20</v>
      </c>
      <c r="U67" s="76">
        <f>Table4[[#This Row],[Total]]+Table4[[#This Row],[Penalty Applied]]</f>
        <v>2</v>
      </c>
      <c r="V67" s="54"/>
    </row>
    <row r="68" spans="4:22" x14ac:dyDescent="0.3">
      <c r="D68" s="52" t="s">
        <v>62</v>
      </c>
      <c r="E68" s="51"/>
      <c r="F68" s="51">
        <v>8</v>
      </c>
      <c r="G68" s="51"/>
      <c r="H68" s="51"/>
      <c r="I68" s="51"/>
      <c r="J68" s="51"/>
      <c r="K68" s="51"/>
      <c r="L68" s="51"/>
      <c r="M68" s="51"/>
      <c r="N68" s="51"/>
      <c r="O68" s="51"/>
      <c r="P68" s="50">
        <v>13</v>
      </c>
      <c r="Q68" s="57">
        <f>SUM(Table4[[#This Row],[1]:[12]])</f>
        <v>21</v>
      </c>
      <c r="R68" s="52">
        <f t="shared" si="2"/>
        <v>2</v>
      </c>
      <c r="S68" s="19" t="s">
        <v>101</v>
      </c>
      <c r="T68" s="54" t="str">
        <f>IF(Table4[[#This Row],[Observed? Y or N]]="N", "-20", "0")</f>
        <v>-20</v>
      </c>
      <c r="U68" s="54">
        <f>Table4[[#This Row],[Total]]+Table4[[#This Row],[Penalty Applied]]</f>
        <v>1</v>
      </c>
      <c r="V68" s="54"/>
    </row>
    <row r="69" spans="4:22" x14ac:dyDescent="0.3">
      <c r="D69" s="52" t="s">
        <v>142</v>
      </c>
      <c r="E69" s="51"/>
      <c r="F69" s="51"/>
      <c r="G69" s="51"/>
      <c r="H69" s="51">
        <v>17</v>
      </c>
      <c r="I69" s="51"/>
      <c r="J69" s="51"/>
      <c r="K69" s="51"/>
      <c r="L69" s="51"/>
      <c r="M69" s="51"/>
      <c r="N69" s="51"/>
      <c r="O69" s="51"/>
      <c r="P69" s="50"/>
      <c r="Q69" s="57">
        <f>SUM(Table4[[#This Row],[1]:[12]])</f>
        <v>17</v>
      </c>
      <c r="R69" s="52">
        <f t="shared" si="2"/>
        <v>1</v>
      </c>
      <c r="S69" s="19" t="s">
        <v>101</v>
      </c>
      <c r="T69" s="54" t="str">
        <f>IF(Table4[[#This Row],[Observed? Y or N]]="N", "-20", "0")</f>
        <v>-20</v>
      </c>
      <c r="U69" s="54">
        <f>Table4[[#This Row],[Total]]+Table4[[#This Row],[Penalty Applied]]</f>
        <v>-3</v>
      </c>
      <c r="V69" s="54" t="s">
        <v>1</v>
      </c>
    </row>
    <row r="70" spans="4:22" x14ac:dyDescent="0.3">
      <c r="D70" s="50" t="s">
        <v>144</v>
      </c>
      <c r="E70" s="51"/>
      <c r="F70" s="51"/>
      <c r="G70" s="51"/>
      <c r="H70" s="51">
        <v>7</v>
      </c>
      <c r="I70" s="51"/>
      <c r="J70" s="51">
        <v>10</v>
      </c>
      <c r="K70" s="51"/>
      <c r="L70" s="51"/>
      <c r="M70" s="51"/>
      <c r="N70" s="51"/>
      <c r="O70" s="51"/>
      <c r="P70" s="50"/>
      <c r="Q70" s="57">
        <f>SUM(Table4[[#This Row],[1]:[12]])</f>
        <v>17</v>
      </c>
      <c r="R70" s="52">
        <f t="shared" si="2"/>
        <v>2</v>
      </c>
      <c r="S70" s="19" t="s">
        <v>101</v>
      </c>
      <c r="T70" s="54" t="str">
        <f>IF(Table4[[#This Row],[Observed? Y or N]]="N", "-20", "0")</f>
        <v>-20</v>
      </c>
      <c r="U70" s="54">
        <f>Table4[[#This Row],[Total]]+Table4[[#This Row],[Penalty Applied]]</f>
        <v>-3</v>
      </c>
      <c r="V70" s="54"/>
    </row>
    <row r="71" spans="4:22" x14ac:dyDescent="0.3">
      <c r="D71" s="52" t="s">
        <v>217</v>
      </c>
      <c r="E71" s="51"/>
      <c r="F71" s="51"/>
      <c r="G71" s="51"/>
      <c r="H71" s="51"/>
      <c r="I71" s="51"/>
      <c r="J71" s="51"/>
      <c r="K71" s="51"/>
      <c r="L71" s="51">
        <v>17</v>
      </c>
      <c r="M71" s="51"/>
      <c r="N71" s="51"/>
      <c r="O71" s="51"/>
      <c r="P71" s="50"/>
      <c r="Q71" s="57">
        <f>SUM(Table4[[#This Row],[1]:[12]])</f>
        <v>17</v>
      </c>
      <c r="R71" s="52">
        <f t="shared" si="2"/>
        <v>1</v>
      </c>
      <c r="S71" s="19" t="s">
        <v>101</v>
      </c>
      <c r="T71" s="54" t="str">
        <f>IF(Table4[[#This Row],[Observed? Y or N]]="N", "-20", "0")</f>
        <v>-20</v>
      </c>
      <c r="U71" s="54">
        <f>Table4[[#This Row],[Total]]+Table4[[#This Row],[Penalty Applied]]</f>
        <v>-3</v>
      </c>
      <c r="V71" s="54"/>
    </row>
    <row r="72" spans="4:22" x14ac:dyDescent="0.3">
      <c r="D72" s="80" t="s">
        <v>272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2">
        <v>15</v>
      </c>
      <c r="Q72" s="74">
        <f>SUM(Table4[[#This Row],[1]:[12]])</f>
        <v>15</v>
      </c>
      <c r="R72" s="71">
        <f t="shared" si="2"/>
        <v>1</v>
      </c>
      <c r="S72" s="107" t="s">
        <v>101</v>
      </c>
      <c r="T72" s="76" t="str">
        <f>IF(Table4[[#This Row],[Observed? Y or N]]="N", "-20", "0")</f>
        <v>-20</v>
      </c>
      <c r="U72" s="76">
        <f>Table4[[#This Row],[Total]]+Table4[[#This Row],[Penalty Applied]]</f>
        <v>-5</v>
      </c>
      <c r="V72" s="54"/>
    </row>
    <row r="73" spans="4:22" x14ac:dyDescent="0.3">
      <c r="D73" s="80" t="s">
        <v>118</v>
      </c>
      <c r="E73" s="73"/>
      <c r="F73" s="73"/>
      <c r="G73" s="73"/>
      <c r="H73" s="73"/>
      <c r="I73" s="73"/>
      <c r="J73" s="73"/>
      <c r="K73" s="73"/>
      <c r="L73" s="73"/>
      <c r="M73" s="73"/>
      <c r="N73" s="73">
        <v>15</v>
      </c>
      <c r="O73" s="73"/>
      <c r="P73" s="72"/>
      <c r="Q73" s="74">
        <f>SUM(Table4[[#This Row],[1]:[12]])</f>
        <v>15</v>
      </c>
      <c r="R73" s="71">
        <f t="shared" si="2"/>
        <v>1</v>
      </c>
      <c r="S73" s="19" t="s">
        <v>101</v>
      </c>
      <c r="T73" s="76" t="str">
        <f>IF(Table4[[#This Row],[Observed? Y or N]]="N", "-20", "0")</f>
        <v>-20</v>
      </c>
      <c r="U73" s="76">
        <f>Table4[[#This Row],[Total]]+Table4[[#This Row],[Penalty Applied]]</f>
        <v>-5</v>
      </c>
      <c r="V73" s="54"/>
    </row>
    <row r="74" spans="4:22" x14ac:dyDescent="0.3">
      <c r="D74" s="50" t="s">
        <v>97</v>
      </c>
      <c r="E74" s="51">
        <v>13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0"/>
      <c r="Q74" s="57">
        <f>SUM(Table4[[#This Row],[1]:[12]])</f>
        <v>13</v>
      </c>
      <c r="R74" s="52">
        <f t="shared" si="2"/>
        <v>1</v>
      </c>
      <c r="S74" s="19" t="s">
        <v>101</v>
      </c>
      <c r="T74" s="54" t="str">
        <f>IF(Table4[[#This Row],[Observed? Y or N]]="N", "-20", "0")</f>
        <v>-20</v>
      </c>
      <c r="U74" s="54">
        <f>Table4[[#This Row],[Total]]+Table4[[#This Row],[Penalty Applied]]</f>
        <v>-7</v>
      </c>
      <c r="V74" s="54"/>
    </row>
    <row r="75" spans="4:22" x14ac:dyDescent="0.3">
      <c r="D75" s="52" t="s">
        <v>218</v>
      </c>
      <c r="E75" s="81"/>
      <c r="F75" s="81"/>
      <c r="G75" s="81"/>
      <c r="H75" s="81"/>
      <c r="I75" s="81"/>
      <c r="J75" s="81"/>
      <c r="K75" s="81"/>
      <c r="L75" s="81">
        <v>13</v>
      </c>
      <c r="M75" s="81"/>
      <c r="N75" s="81"/>
      <c r="O75" s="81"/>
      <c r="P75" s="50"/>
      <c r="Q75" s="57">
        <f>SUM(Table4[[#This Row],[1]:[12]])</f>
        <v>13</v>
      </c>
      <c r="R75" s="52">
        <f t="shared" si="2"/>
        <v>1</v>
      </c>
      <c r="S75" s="19" t="s">
        <v>101</v>
      </c>
      <c r="T75" s="54" t="str">
        <f>IF(Table4[[#This Row],[Observed? Y or N]]="N", "-20", "0")</f>
        <v>-20</v>
      </c>
      <c r="U75" s="54">
        <f>Table4[[#This Row],[Total]]+Table4[[#This Row],[Penalty Applied]]</f>
        <v>-7</v>
      </c>
      <c r="V75" s="54"/>
    </row>
    <row r="76" spans="4:22" x14ac:dyDescent="0.3">
      <c r="D76" s="72" t="s">
        <v>133</v>
      </c>
      <c r="E76" s="73"/>
      <c r="F76" s="73"/>
      <c r="G76" s="73"/>
      <c r="H76" s="73"/>
      <c r="I76" s="73"/>
      <c r="J76" s="73"/>
      <c r="K76" s="73"/>
      <c r="L76" s="73"/>
      <c r="M76" s="73"/>
      <c r="N76" s="73">
        <v>13</v>
      </c>
      <c r="O76" s="73"/>
      <c r="P76" s="72"/>
      <c r="Q76" s="74">
        <f>SUM(Table4[[#This Row],[1]:[12]])</f>
        <v>13</v>
      </c>
      <c r="R76" s="71">
        <f t="shared" si="2"/>
        <v>1</v>
      </c>
      <c r="S76" s="19" t="s">
        <v>101</v>
      </c>
      <c r="T76" s="76" t="str">
        <f>IF(Table4[[#This Row],[Observed? Y or N]]="N", "-20", "0")</f>
        <v>-20</v>
      </c>
      <c r="U76" s="76">
        <f>Table4[[#This Row],[Total]]+Table4[[#This Row],[Penalty Applied]]</f>
        <v>-7</v>
      </c>
      <c r="V76" s="54"/>
    </row>
    <row r="77" spans="4:22" x14ac:dyDescent="0.3">
      <c r="D77" s="72" t="s">
        <v>241</v>
      </c>
      <c r="E77" s="73"/>
      <c r="F77" s="73"/>
      <c r="G77" s="73"/>
      <c r="H77" s="73"/>
      <c r="I77" s="73"/>
      <c r="J77" s="73"/>
      <c r="K77" s="73"/>
      <c r="L77" s="73"/>
      <c r="M77" s="73"/>
      <c r="N77" s="73">
        <v>11</v>
      </c>
      <c r="O77" s="73"/>
      <c r="P77" s="72"/>
      <c r="Q77" s="74">
        <f>SUM(Table4[[#This Row],[1]:[12]])</f>
        <v>11</v>
      </c>
      <c r="R77" s="71">
        <f t="shared" si="2"/>
        <v>1</v>
      </c>
      <c r="S77" s="19" t="s">
        <v>101</v>
      </c>
      <c r="T77" s="54" t="str">
        <f>IF(Table4[[#This Row],[Observed? Y or N]]="N", "-20", "0")</f>
        <v>-20</v>
      </c>
      <c r="U77" s="76">
        <f>Table4[[#This Row],[Total]]+Table4[[#This Row],[Penalty Applied]]</f>
        <v>-9</v>
      </c>
      <c r="V77" s="54"/>
    </row>
    <row r="78" spans="4:22" x14ac:dyDescent="0.3">
      <c r="D78" s="72" t="s">
        <v>244</v>
      </c>
      <c r="E78" s="73"/>
      <c r="F78" s="73"/>
      <c r="G78" s="73"/>
      <c r="H78" s="73"/>
      <c r="I78" s="73"/>
      <c r="J78" s="73"/>
      <c r="K78" s="73"/>
      <c r="L78" s="73"/>
      <c r="M78" s="73"/>
      <c r="N78" s="73">
        <v>3</v>
      </c>
      <c r="O78" s="73">
        <v>7</v>
      </c>
      <c r="P78" s="72"/>
      <c r="Q78" s="103">
        <f>SUM(Table4[[#This Row],[1]:[12]])</f>
        <v>10</v>
      </c>
      <c r="R78" s="63">
        <f t="shared" si="2"/>
        <v>2</v>
      </c>
      <c r="S78" s="61" t="s">
        <v>101</v>
      </c>
      <c r="T78" s="76" t="str">
        <f>IF(Table4[[#This Row],[Observed? Y or N]]="N", "-20", "0")</f>
        <v>-20</v>
      </c>
      <c r="U78" s="76">
        <f>Table4[[#This Row],[Total]]+Table4[[#This Row],[Penalty Applied]]</f>
        <v>-10</v>
      </c>
      <c r="V78" s="54"/>
    </row>
    <row r="79" spans="4:22" x14ac:dyDescent="0.3">
      <c r="D79" s="72" t="s">
        <v>75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2">
        <v>10</v>
      </c>
      <c r="Q79" s="74">
        <f>SUM(Table4[[#This Row],[1]:[12]])</f>
        <v>10</v>
      </c>
      <c r="R79" s="71">
        <f t="shared" si="2"/>
        <v>1</v>
      </c>
      <c r="S79" s="75" t="s">
        <v>101</v>
      </c>
      <c r="T79" s="76" t="str">
        <f>IF(Table4[[#This Row],[Observed? Y or N]]="N", "-20", "0")</f>
        <v>-20</v>
      </c>
      <c r="U79" s="76">
        <f>Table4[[#This Row],[Total]]+Table4[[#This Row],[Penalty Applied]]</f>
        <v>-10</v>
      </c>
      <c r="V79" s="54"/>
    </row>
    <row r="80" spans="4:22" x14ac:dyDescent="0.3">
      <c r="D80" s="72" t="s">
        <v>243</v>
      </c>
      <c r="E80" s="73"/>
      <c r="F80" s="73"/>
      <c r="G80" s="73"/>
      <c r="H80" s="73"/>
      <c r="I80" s="73"/>
      <c r="J80" s="73"/>
      <c r="K80" s="73"/>
      <c r="L80" s="73"/>
      <c r="M80" s="73"/>
      <c r="N80" s="73">
        <v>8</v>
      </c>
      <c r="O80" s="73"/>
      <c r="P80" s="72"/>
      <c r="Q80" s="103">
        <f>SUM(Table4[[#This Row],[1]:[12]])</f>
        <v>8</v>
      </c>
      <c r="R80" s="63">
        <f t="shared" si="2"/>
        <v>1</v>
      </c>
      <c r="S80" s="61" t="s">
        <v>101</v>
      </c>
      <c r="T80" s="76" t="str">
        <f>IF(Table4[[#This Row],[Observed? Y or N]]="N", "-20", "0")</f>
        <v>-20</v>
      </c>
      <c r="U80" s="76">
        <f>Table4[[#This Row],[Total]]+Table4[[#This Row],[Penalty Applied]]</f>
        <v>-12</v>
      </c>
      <c r="V80" s="54"/>
    </row>
    <row r="81" spans="4:24" x14ac:dyDescent="0.3">
      <c r="D81" s="50" t="s">
        <v>165</v>
      </c>
      <c r="E81" s="51"/>
      <c r="F81" s="51"/>
      <c r="G81" s="51"/>
      <c r="H81" s="51"/>
      <c r="I81" s="51">
        <v>6</v>
      </c>
      <c r="J81" s="51"/>
      <c r="K81" s="51"/>
      <c r="L81" s="51"/>
      <c r="M81" s="51"/>
      <c r="N81" s="51"/>
      <c r="O81" s="51"/>
      <c r="P81" s="50"/>
      <c r="Q81" s="57">
        <f>SUM(Table4[[#This Row],[1]:[12]])</f>
        <v>6</v>
      </c>
      <c r="R81" s="52">
        <f t="shared" si="2"/>
        <v>1</v>
      </c>
      <c r="S81" s="19" t="s">
        <v>101</v>
      </c>
      <c r="T81" s="54" t="str">
        <f>IF(Table4[[#This Row],[Observed? Y or N]]="N", "-20", "0")</f>
        <v>-20</v>
      </c>
      <c r="U81" s="54">
        <f>Table4[[#This Row],[Total]]+Table4[[#This Row],[Penalty Applied]]</f>
        <v>-14</v>
      </c>
      <c r="V81" s="54"/>
    </row>
    <row r="82" spans="4:24" x14ac:dyDescent="0.3">
      <c r="D82" s="50" t="s">
        <v>134</v>
      </c>
      <c r="E82" s="51"/>
      <c r="F82" s="51">
        <v>6</v>
      </c>
      <c r="G82" s="51"/>
      <c r="H82" s="51"/>
      <c r="I82" s="51"/>
      <c r="J82" s="51"/>
      <c r="K82" s="51"/>
      <c r="L82" s="51"/>
      <c r="M82" s="51"/>
      <c r="N82" s="51"/>
      <c r="O82" s="51"/>
      <c r="P82" s="50"/>
      <c r="Q82" s="57">
        <f>SUM(Table4[[#This Row],[1]:[12]])</f>
        <v>6</v>
      </c>
      <c r="R82" s="52">
        <f t="shared" si="2"/>
        <v>1</v>
      </c>
      <c r="S82" s="19" t="s">
        <v>101</v>
      </c>
      <c r="T82" s="54" t="str">
        <f>IF(Table4[[#This Row],[Observed? Y or N]]="N", "-20", "0")</f>
        <v>-20</v>
      </c>
      <c r="U82" s="54">
        <f>Table4[[#This Row],[Total]]+Table4[[#This Row],[Penalty Applied]]</f>
        <v>-14</v>
      </c>
      <c r="V82" s="54"/>
    </row>
    <row r="83" spans="4:24" ht="15" x14ac:dyDescent="0.3">
      <c r="D83" s="72" t="s">
        <v>252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>
        <v>5</v>
      </c>
      <c r="P83" s="72"/>
      <c r="Q83" s="74">
        <f>SUM(Table4[[#This Row],[1]:[12]])</f>
        <v>5</v>
      </c>
      <c r="R83" s="71">
        <f t="shared" si="2"/>
        <v>1</v>
      </c>
      <c r="S83" s="75" t="s">
        <v>101</v>
      </c>
      <c r="T83" s="76" t="str">
        <f>IF(Table4[[#This Row],[Observed? Y or N]]="N", "-20", "0")</f>
        <v>-20</v>
      </c>
      <c r="U83" s="76">
        <f>Table4[[#This Row],[Total]]+Table4[[#This Row],[Penalty Applied]]</f>
        <v>-15</v>
      </c>
      <c r="V83" s="54"/>
      <c r="X83" s="44"/>
    </row>
    <row r="84" spans="4:24" ht="15" x14ac:dyDescent="0.3">
      <c r="D84" s="72" t="s">
        <v>220</v>
      </c>
      <c r="E84" s="73"/>
      <c r="F84" s="73"/>
      <c r="G84" s="73"/>
      <c r="H84" s="73"/>
      <c r="I84" s="73"/>
      <c r="J84" s="73"/>
      <c r="K84" s="73"/>
      <c r="L84" s="73">
        <v>5</v>
      </c>
      <c r="M84" s="73"/>
      <c r="N84" s="73"/>
      <c r="O84" s="73"/>
      <c r="P84" s="72"/>
      <c r="Q84" s="74">
        <f>SUM(Table4[[#This Row],[1]:[12]])</f>
        <v>5</v>
      </c>
      <c r="R84" s="71">
        <f t="shared" si="2"/>
        <v>1</v>
      </c>
      <c r="S84" s="19" t="s">
        <v>101</v>
      </c>
      <c r="T84" s="76" t="str">
        <f>IF(Table4[[#This Row],[Observed? Y or N]]="N", "-20", "0")</f>
        <v>-20</v>
      </c>
      <c r="U84" s="76">
        <f>Table4[[#This Row],[Total]]+Table4[[#This Row],[Penalty Applied]]</f>
        <v>-15</v>
      </c>
      <c r="V84" s="54"/>
      <c r="X84" s="44"/>
    </row>
    <row r="85" spans="4:24" ht="15" x14ac:dyDescent="0.3">
      <c r="D85" s="72" t="s">
        <v>273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2">
        <v>4</v>
      </c>
      <c r="Q85" s="74">
        <f>SUM(Table4[[#This Row],[1]:[12]])</f>
        <v>4</v>
      </c>
      <c r="R85" s="71">
        <f t="shared" si="2"/>
        <v>1</v>
      </c>
      <c r="S85" s="75" t="s">
        <v>101</v>
      </c>
      <c r="T85" s="76" t="str">
        <f>IF(Table4[[#This Row],[Observed? Y or N]]="N", "-20", "0")</f>
        <v>-20</v>
      </c>
      <c r="U85" s="76">
        <f>Table4[[#This Row],[Total]]+Table4[[#This Row],[Penalty Applied]]</f>
        <v>-16</v>
      </c>
      <c r="V85" s="54"/>
      <c r="X85" s="44"/>
    </row>
    <row r="86" spans="4:24" ht="15" x14ac:dyDescent="0.3">
      <c r="D86" s="72" t="s">
        <v>200</v>
      </c>
      <c r="E86" s="108"/>
      <c r="F86" s="108"/>
      <c r="G86" s="108"/>
      <c r="H86" s="108"/>
      <c r="I86" s="108"/>
      <c r="J86" s="108"/>
      <c r="K86" s="108"/>
      <c r="L86" s="108">
        <v>4</v>
      </c>
      <c r="M86" s="108"/>
      <c r="N86" s="108"/>
      <c r="O86" s="108"/>
      <c r="P86" s="72"/>
      <c r="Q86" s="74">
        <f>SUM(Table4[[#This Row],[1]:[12]])</f>
        <v>4</v>
      </c>
      <c r="R86" s="71">
        <f t="shared" si="2"/>
        <v>1</v>
      </c>
      <c r="S86" s="19" t="s">
        <v>101</v>
      </c>
      <c r="T86" s="76" t="str">
        <f>IF(Table4[[#This Row],[Observed? Y or N]]="N", "-20", "0")</f>
        <v>-20</v>
      </c>
      <c r="U86" s="76">
        <f>Table4[[#This Row],[Total]]+Table4[[#This Row],[Penalty Applied]]</f>
        <v>-16</v>
      </c>
      <c r="V86" s="54"/>
      <c r="X86" s="44"/>
    </row>
    <row r="87" spans="4:24" ht="15.6" thickBot="1" x14ac:dyDescent="0.35">
      <c r="D87" s="79" t="s">
        <v>274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>
        <v>2</v>
      </c>
      <c r="Q87" s="74">
        <f>SUM(Table4[[#This Row],[1]:[12]])</f>
        <v>2</v>
      </c>
      <c r="R87" s="71">
        <f t="shared" si="2"/>
        <v>1</v>
      </c>
      <c r="S87" s="75" t="s">
        <v>101</v>
      </c>
      <c r="T87" s="84" t="str">
        <f>IF(Table4[[#This Row],[Observed? Y or N]]="N", "-20", "0")</f>
        <v>-20</v>
      </c>
      <c r="U87" s="84">
        <f>Table4[[#This Row],[Total]]+Table4[[#This Row],[Penalty Applied]]</f>
        <v>-18</v>
      </c>
      <c r="V87" s="56"/>
      <c r="X87" s="44"/>
    </row>
    <row r="88" spans="4:24" ht="15" x14ac:dyDescent="0.3">
      <c r="D88" s="19"/>
      <c r="P88" s="19"/>
      <c r="Q88" s="20"/>
      <c r="X88" s="44"/>
    </row>
    <row r="89" spans="4:24" ht="15.6" thickBot="1" x14ac:dyDescent="0.35">
      <c r="X89" s="44"/>
    </row>
    <row r="90" spans="4:24" ht="153" thickBot="1" x14ac:dyDescent="0.35">
      <c r="D90" s="47" t="s">
        <v>38</v>
      </c>
      <c r="E90" s="46" t="s">
        <v>120</v>
      </c>
      <c r="F90" s="46" t="s">
        <v>121</v>
      </c>
      <c r="G90" s="46" t="s">
        <v>122</v>
      </c>
      <c r="H90" s="46" t="s">
        <v>123</v>
      </c>
      <c r="I90" s="46" t="s">
        <v>124</v>
      </c>
      <c r="J90" s="46" t="s">
        <v>125</v>
      </c>
      <c r="K90" s="46" t="s">
        <v>126</v>
      </c>
      <c r="L90" s="46" t="s">
        <v>127</v>
      </c>
      <c r="M90" s="46" t="s">
        <v>128</v>
      </c>
      <c r="N90" s="46" t="s">
        <v>129</v>
      </c>
      <c r="O90" s="46" t="s">
        <v>130</v>
      </c>
      <c r="P90" s="46" t="s">
        <v>131</v>
      </c>
      <c r="Q90" s="13" t="s">
        <v>34</v>
      </c>
      <c r="R90" s="13" t="s">
        <v>45</v>
      </c>
      <c r="S90" s="109" t="s">
        <v>99</v>
      </c>
      <c r="T90" s="13" t="s">
        <v>103</v>
      </c>
      <c r="U90" s="43" t="s">
        <v>100</v>
      </c>
      <c r="V90" s="43" t="s">
        <v>15</v>
      </c>
      <c r="X90" s="44"/>
    </row>
    <row r="91" spans="4:24" ht="15.6" thickBot="1" x14ac:dyDescent="0.35">
      <c r="D91" s="88" t="s">
        <v>65</v>
      </c>
      <c r="E91" s="96">
        <v>20</v>
      </c>
      <c r="F91" s="96"/>
      <c r="G91" s="96"/>
      <c r="H91" s="96"/>
      <c r="I91" s="96">
        <v>17</v>
      </c>
      <c r="J91" s="96">
        <v>13</v>
      </c>
      <c r="K91" s="96"/>
      <c r="L91" s="96">
        <v>20</v>
      </c>
      <c r="M91" s="96">
        <v>20</v>
      </c>
      <c r="N91" s="96"/>
      <c r="O91" s="96"/>
      <c r="P91" s="85">
        <v>15</v>
      </c>
      <c r="Q91" s="88">
        <f>SUM(Table5[[#This Row],[Over 40 Inter]:[12]])</f>
        <v>105</v>
      </c>
      <c r="R91" s="88">
        <f t="shared" ref="R91:R104" si="3">COUNTIF(E91:P91,"&gt;1")</f>
        <v>6</v>
      </c>
      <c r="S91" s="22" t="s">
        <v>102</v>
      </c>
      <c r="T91" s="95" t="str">
        <f>IF(Table5[[#This Row],[Observed? Y or N]]="N", "-20", "0")</f>
        <v>0</v>
      </c>
      <c r="U91" s="78">
        <f>Table5[[#This Row],[Total]]+Table5[[#This Row],[Penalty Applied]]</f>
        <v>105</v>
      </c>
      <c r="V91" s="95">
        <v>20</v>
      </c>
      <c r="X91" s="44"/>
    </row>
    <row r="92" spans="4:24" ht="15.6" thickBot="1" x14ac:dyDescent="0.35">
      <c r="D92" s="50" t="s">
        <v>118</v>
      </c>
      <c r="E92" s="51"/>
      <c r="F92" s="51"/>
      <c r="G92" s="51"/>
      <c r="H92" s="51"/>
      <c r="I92" s="51">
        <v>20</v>
      </c>
      <c r="J92" s="51">
        <v>20</v>
      </c>
      <c r="K92" s="51">
        <v>20</v>
      </c>
      <c r="L92" s="51"/>
      <c r="M92" s="51"/>
      <c r="N92" s="51"/>
      <c r="O92" s="51">
        <v>15</v>
      </c>
      <c r="P92" s="50">
        <v>20</v>
      </c>
      <c r="Q92" s="2">
        <f>SUM(Table5[[#This Row],[Over 40 Inter]:[12]])</f>
        <v>95</v>
      </c>
      <c r="R92" s="3">
        <f t="shared" si="3"/>
        <v>5</v>
      </c>
      <c r="S92" s="19" t="s">
        <v>101</v>
      </c>
      <c r="T92" s="54" t="str">
        <f>IF(Table5[[#This Row],[Observed? Y or N]]="N", "-20", "0")</f>
        <v>-20</v>
      </c>
      <c r="U92" s="54">
        <f>Table5[[#This Row],[Total]]+Table5[[#This Row],[Penalty Applied]]</f>
        <v>75</v>
      </c>
      <c r="V92" s="54">
        <v>17</v>
      </c>
      <c r="X92" s="44"/>
    </row>
    <row r="93" spans="4:24" ht="15" x14ac:dyDescent="0.3">
      <c r="D93" s="50" t="s">
        <v>134</v>
      </c>
      <c r="E93" s="81"/>
      <c r="F93" s="81"/>
      <c r="G93" s="81"/>
      <c r="H93" s="81">
        <v>20</v>
      </c>
      <c r="I93" s="81"/>
      <c r="J93" s="81">
        <v>17</v>
      </c>
      <c r="K93" s="81">
        <v>15</v>
      </c>
      <c r="L93" s="81">
        <v>17</v>
      </c>
      <c r="M93" s="81"/>
      <c r="N93" s="81"/>
      <c r="O93" s="81"/>
      <c r="P93" s="50">
        <v>17</v>
      </c>
      <c r="Q93" s="2">
        <f>SUM(Table5[[#This Row],[Over 40 Inter]:[12]])</f>
        <v>86</v>
      </c>
      <c r="R93" s="3">
        <f t="shared" si="3"/>
        <v>5</v>
      </c>
      <c r="S93" s="19" t="s">
        <v>101</v>
      </c>
      <c r="T93" s="54" t="str">
        <f>IF(Table5[[#This Row],[Observed? Y or N]]="N", "-20", "0")</f>
        <v>-20</v>
      </c>
      <c r="U93" s="54">
        <f>Table5[[#This Row],[Total]]+Table5[[#This Row],[Penalty Applied]]</f>
        <v>66</v>
      </c>
      <c r="V93" s="54">
        <v>15</v>
      </c>
      <c r="X93" s="44"/>
    </row>
    <row r="94" spans="4:24" x14ac:dyDescent="0.3">
      <c r="D94" s="52" t="s">
        <v>133</v>
      </c>
      <c r="E94" s="51"/>
      <c r="F94" s="51"/>
      <c r="G94" s="51"/>
      <c r="H94" s="51"/>
      <c r="I94" s="51">
        <v>15</v>
      </c>
      <c r="J94" s="51">
        <v>15</v>
      </c>
      <c r="K94" s="51">
        <v>17</v>
      </c>
      <c r="L94" s="51"/>
      <c r="M94" s="51"/>
      <c r="N94" s="51"/>
      <c r="O94" s="51">
        <v>11</v>
      </c>
      <c r="P94" s="50"/>
      <c r="Q94" s="3">
        <f>SUM(Table5[[#This Row],[Over 40 Inter]:[12]])</f>
        <v>58</v>
      </c>
      <c r="R94" s="3">
        <f t="shared" si="3"/>
        <v>4</v>
      </c>
      <c r="S94" s="19" t="s">
        <v>101</v>
      </c>
      <c r="T94" s="54" t="str">
        <f>IF(Table5[[#This Row],[Observed? Y or N]]="N", "-20", "0")</f>
        <v>-20</v>
      </c>
      <c r="U94" s="54">
        <f>Table5[[#This Row],[Total]]+Table5[[#This Row],[Penalty Applied]]</f>
        <v>38</v>
      </c>
      <c r="V94" s="54"/>
    </row>
    <row r="95" spans="4:24" x14ac:dyDescent="0.3">
      <c r="D95" s="90" t="s">
        <v>107</v>
      </c>
      <c r="E95" s="86"/>
      <c r="F95" s="86"/>
      <c r="G95" s="86"/>
      <c r="H95" s="86"/>
      <c r="I95" s="86">
        <v>11</v>
      </c>
      <c r="J95" s="86"/>
      <c r="K95" s="86">
        <v>11</v>
      </c>
      <c r="L95" s="86"/>
      <c r="M95" s="86"/>
      <c r="N95" s="86"/>
      <c r="O95" s="86"/>
      <c r="P95" s="87"/>
      <c r="Q95" s="90">
        <f>SUM(Table5[[#This Row],[Over 40 Inter]:[12]])</f>
        <v>22</v>
      </c>
      <c r="R95" s="90">
        <f t="shared" si="3"/>
        <v>2</v>
      </c>
      <c r="S95" s="19" t="s">
        <v>102</v>
      </c>
      <c r="T95" s="78" t="str">
        <f>IF(Table5[[#This Row],[Observed? Y or N]]="N", "-20", "0")</f>
        <v>0</v>
      </c>
      <c r="U95" s="78">
        <f>Table5[[#This Row],[Total]]+Table5[[#This Row],[Penalty Applied]]</f>
        <v>22</v>
      </c>
      <c r="V95" s="78"/>
    </row>
    <row r="96" spans="4:24" x14ac:dyDescent="0.3">
      <c r="D96" s="50" t="s">
        <v>245</v>
      </c>
      <c r="E96" s="51"/>
      <c r="F96" s="51"/>
      <c r="G96" s="51"/>
      <c r="H96" s="51"/>
      <c r="I96" s="51"/>
      <c r="J96" s="51"/>
      <c r="K96" s="51"/>
      <c r="L96" s="51"/>
      <c r="M96" s="51"/>
      <c r="N96" s="51">
        <v>20</v>
      </c>
      <c r="O96" s="51">
        <v>20</v>
      </c>
      <c r="P96" s="50"/>
      <c r="Q96" s="52">
        <f>SUM(E96:P96)</f>
        <v>40</v>
      </c>
      <c r="R96" s="52">
        <f t="shared" si="3"/>
        <v>2</v>
      </c>
      <c r="S96" s="19" t="s">
        <v>101</v>
      </c>
      <c r="T96" s="54" t="str">
        <f>IF(Table5[[#This Row],[Observed? Y or N]]="N", "-20", "0")</f>
        <v>-20</v>
      </c>
      <c r="U96" s="54">
        <f>Table5[[#This Row],[Total]]+Table5[[#This Row],[Penalty Applied]]</f>
        <v>20</v>
      </c>
      <c r="V96" s="54"/>
    </row>
    <row r="97" spans="4:22" x14ac:dyDescent="0.3">
      <c r="D97" s="50" t="s">
        <v>108</v>
      </c>
      <c r="E97" s="51"/>
      <c r="F97" s="51"/>
      <c r="G97" s="51"/>
      <c r="H97" s="51"/>
      <c r="I97" s="51">
        <v>13</v>
      </c>
      <c r="J97" s="51">
        <v>11</v>
      </c>
      <c r="K97" s="51">
        <v>13</v>
      </c>
      <c r="L97" s="51"/>
      <c r="M97" s="51"/>
      <c r="N97" s="51"/>
      <c r="O97" s="51"/>
      <c r="P97" s="50"/>
      <c r="Q97" s="3">
        <f>SUM(E97:P97)</f>
        <v>37</v>
      </c>
      <c r="R97" s="3">
        <f t="shared" si="3"/>
        <v>3</v>
      </c>
      <c r="S97" s="19" t="s">
        <v>101</v>
      </c>
      <c r="T97" s="54" t="str">
        <f>IF(Table5[[#This Row],[Observed? Y or N]]="N", "-20", "0")</f>
        <v>-20</v>
      </c>
      <c r="U97" s="54">
        <f>Table5[[#This Row],[Total]]+Table5[[#This Row],[Penalty Applied]]</f>
        <v>17</v>
      </c>
      <c r="V97" s="54"/>
    </row>
    <row r="98" spans="4:22" x14ac:dyDescent="0.3">
      <c r="D98" s="87" t="s">
        <v>257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>
        <v>17</v>
      </c>
      <c r="P98" s="87"/>
      <c r="Q98" s="90">
        <f>SUM(Table5[[#This Row],[Over 40 Inter]:[12]])</f>
        <v>17</v>
      </c>
      <c r="R98" s="90">
        <f t="shared" si="3"/>
        <v>1</v>
      </c>
      <c r="S98" s="19" t="s">
        <v>102</v>
      </c>
      <c r="T98" s="78" t="str">
        <f>IF(Table5[[#This Row],[Observed? Y or N]]="N", "-20", "0")</f>
        <v>0</v>
      </c>
      <c r="U98" s="78">
        <f>Table5[[#This Row],[Total]]+Table5[[#This Row],[Penalty Applied]]</f>
        <v>17</v>
      </c>
      <c r="V98" s="78"/>
    </row>
    <row r="99" spans="4:22" x14ac:dyDescent="0.3">
      <c r="D99" s="90" t="s">
        <v>81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>
        <v>13</v>
      </c>
      <c r="P99" s="87"/>
      <c r="Q99" s="90">
        <f t="shared" ref="Q99:Q104" si="4">SUM(E99:P99)</f>
        <v>13</v>
      </c>
      <c r="R99" s="90">
        <f t="shared" si="3"/>
        <v>1</v>
      </c>
      <c r="S99" s="19" t="s">
        <v>102</v>
      </c>
      <c r="T99" s="78" t="str">
        <f>IF(Table5[[#This Row],[Observed? Y or N]]="N", "-20", "0")</f>
        <v>0</v>
      </c>
      <c r="U99" s="78">
        <f>Table5[[#This Row],[Total]]+Table5[[#This Row],[Penalty Applied]]</f>
        <v>13</v>
      </c>
      <c r="V99" s="78"/>
    </row>
    <row r="100" spans="4:22" x14ac:dyDescent="0.3">
      <c r="D100" s="52" t="s">
        <v>258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>
        <v>10</v>
      </c>
      <c r="P100" s="50"/>
      <c r="Q100" s="52">
        <f t="shared" si="4"/>
        <v>10</v>
      </c>
      <c r="R100" s="52">
        <f t="shared" si="3"/>
        <v>1</v>
      </c>
      <c r="S100" s="19" t="s">
        <v>101</v>
      </c>
      <c r="T100" s="54" t="str">
        <f>IF(Table5[[#This Row],[Observed? Y or N]]="N", "-20", "0")</f>
        <v>-20</v>
      </c>
      <c r="U100" s="54">
        <f>Table5[[#This Row],[Total]]+Table5[[#This Row],[Penalty Applied]]</f>
        <v>-10</v>
      </c>
      <c r="V100" s="54"/>
    </row>
    <row r="101" spans="4:22" x14ac:dyDescent="0.3">
      <c r="D101" s="5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0"/>
      <c r="Q101" s="52">
        <f t="shared" si="4"/>
        <v>0</v>
      </c>
      <c r="R101" s="52">
        <f t="shared" si="3"/>
        <v>0</v>
      </c>
      <c r="S101" s="19" t="s">
        <v>101</v>
      </c>
      <c r="T101" s="54" t="str">
        <f>IF(Table5[[#This Row],[Observed? Y or N]]="N", "-20", "0")</f>
        <v>-20</v>
      </c>
      <c r="U101" s="54">
        <f>Table5[[#This Row],[Total]]+Table5[[#This Row],[Penalty Applied]]</f>
        <v>-20</v>
      </c>
      <c r="V101" s="54"/>
    </row>
    <row r="102" spans="4:22" x14ac:dyDescent="0.3">
      <c r="D102" s="5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0"/>
      <c r="Q102" s="52">
        <f t="shared" si="4"/>
        <v>0</v>
      </c>
      <c r="R102" s="52">
        <f t="shared" si="3"/>
        <v>0</v>
      </c>
      <c r="S102" s="19" t="s">
        <v>101</v>
      </c>
      <c r="T102" s="54" t="str">
        <f>IF(Table5[[#This Row],[Observed? Y or N]]="N", "-20", "0")</f>
        <v>-20</v>
      </c>
      <c r="U102" s="54">
        <f>Table5[[#This Row],[Total]]+Table5[[#This Row],[Penalty Applied]]</f>
        <v>-20</v>
      </c>
      <c r="V102" s="54"/>
    </row>
    <row r="103" spans="4:22" x14ac:dyDescent="0.3">
      <c r="D103" s="5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0"/>
      <c r="Q103" s="52">
        <f t="shared" si="4"/>
        <v>0</v>
      </c>
      <c r="R103" s="52">
        <f t="shared" si="3"/>
        <v>0</v>
      </c>
      <c r="S103" s="19" t="s">
        <v>101</v>
      </c>
      <c r="T103" s="54" t="str">
        <f>IF(Table5[[#This Row],[Observed? Y or N]]="N", "-20", "0")</f>
        <v>-20</v>
      </c>
      <c r="U103" s="54">
        <f>Table5[[#This Row],[Total]]+Table5[[#This Row],[Penalty Applied]]</f>
        <v>-20</v>
      </c>
      <c r="V103" s="54"/>
    </row>
    <row r="104" spans="4:22" ht="15" thickBot="1" x14ac:dyDescent="0.35">
      <c r="D104" s="58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52">
        <f t="shared" si="4"/>
        <v>0</v>
      </c>
      <c r="R104" s="58">
        <f t="shared" si="3"/>
        <v>0</v>
      </c>
      <c r="S104" s="19" t="s">
        <v>101</v>
      </c>
      <c r="T104" s="56" t="str">
        <f>IF(Table5[[#This Row],[Observed? Y or N]]="N", "-20", "0")</f>
        <v>-20</v>
      </c>
      <c r="U104" s="54">
        <f>Table5[[#This Row],[Total]]+Table5[[#This Row],[Penalty Applied]]</f>
        <v>-20</v>
      </c>
      <c r="V104" s="56"/>
    </row>
    <row r="106" spans="4:22" ht="15" thickBot="1" x14ac:dyDescent="0.35"/>
    <row r="107" spans="4:22" ht="153" thickBot="1" x14ac:dyDescent="0.35">
      <c r="D107" s="47" t="s">
        <v>37</v>
      </c>
      <c r="E107" s="46" t="s">
        <v>120</v>
      </c>
      <c r="F107" s="46" t="s">
        <v>121</v>
      </c>
      <c r="G107" s="46" t="s">
        <v>122</v>
      </c>
      <c r="H107" s="46" t="s">
        <v>123</v>
      </c>
      <c r="I107" s="46" t="s">
        <v>124</v>
      </c>
      <c r="J107" s="46" t="s">
        <v>125</v>
      </c>
      <c r="K107" s="46" t="s">
        <v>126</v>
      </c>
      <c r="L107" s="46" t="s">
        <v>127</v>
      </c>
      <c r="M107" s="46" t="s">
        <v>128</v>
      </c>
      <c r="N107" s="46" t="s">
        <v>129</v>
      </c>
      <c r="O107" s="46" t="s">
        <v>130</v>
      </c>
      <c r="P107" s="46" t="s">
        <v>131</v>
      </c>
      <c r="Q107" s="13" t="s">
        <v>34</v>
      </c>
      <c r="R107" s="13" t="s">
        <v>45</v>
      </c>
      <c r="S107" s="109" t="s">
        <v>99</v>
      </c>
      <c r="T107" s="13" t="s">
        <v>103</v>
      </c>
      <c r="U107" s="43" t="s">
        <v>100</v>
      </c>
      <c r="V107" s="43" t="s">
        <v>15</v>
      </c>
    </row>
    <row r="108" spans="4:22" x14ac:dyDescent="0.3">
      <c r="D108" s="87" t="s">
        <v>66</v>
      </c>
      <c r="E108" s="86">
        <v>20</v>
      </c>
      <c r="F108" s="86">
        <v>20</v>
      </c>
      <c r="G108" s="86"/>
      <c r="H108" s="86">
        <v>20</v>
      </c>
      <c r="I108" s="86"/>
      <c r="J108" s="86">
        <v>17</v>
      </c>
      <c r="K108" s="86">
        <v>17</v>
      </c>
      <c r="L108" s="86">
        <v>15</v>
      </c>
      <c r="M108" s="86">
        <v>20</v>
      </c>
      <c r="N108" s="86">
        <v>20</v>
      </c>
      <c r="O108" s="86">
        <v>17</v>
      </c>
      <c r="P108" s="87"/>
      <c r="Q108" s="2">
        <f>SUM(Table6[[#This Row],[1]:[12]])</f>
        <v>166</v>
      </c>
      <c r="R108" s="2">
        <f>COUNTIF(E108:P108,"&gt;1")</f>
        <v>9</v>
      </c>
      <c r="S108" s="22" t="s">
        <v>235</v>
      </c>
      <c r="T108" s="95" t="str">
        <f>IF(Table6[[#This Row],[Observed? Y or N]]="N", "-20", "0")</f>
        <v>0</v>
      </c>
      <c r="U108" s="78">
        <f>166-Table6[[#This Row],[8]]</f>
        <v>151</v>
      </c>
      <c r="V108" s="78" t="s">
        <v>0</v>
      </c>
    </row>
    <row r="109" spans="4:22" x14ac:dyDescent="0.3">
      <c r="D109" s="87" t="s">
        <v>147</v>
      </c>
      <c r="E109" s="86">
        <v>17</v>
      </c>
      <c r="F109" s="86">
        <v>15</v>
      </c>
      <c r="G109" s="86"/>
      <c r="H109" s="86">
        <v>11</v>
      </c>
      <c r="I109" s="86"/>
      <c r="J109" s="86"/>
      <c r="K109" s="86">
        <v>20</v>
      </c>
      <c r="L109" s="86">
        <v>13</v>
      </c>
      <c r="M109" s="86"/>
      <c r="N109" s="86">
        <v>17</v>
      </c>
      <c r="O109" s="86">
        <v>15</v>
      </c>
      <c r="P109" s="87">
        <v>20</v>
      </c>
      <c r="Q109" s="90">
        <f>SUM(Table6[[#This Row],[1]:[12]])</f>
        <v>128</v>
      </c>
      <c r="R109" s="3">
        <f>COUNTIF(E109:P109,"&gt;1")</f>
        <v>8</v>
      </c>
      <c r="S109" s="19" t="s">
        <v>102</v>
      </c>
      <c r="T109" s="78" t="str">
        <f>IF(Table6[[#This Row],[Observed? Y or N]]="N", "-20", "0")</f>
        <v>0</v>
      </c>
      <c r="U109" s="78">
        <f>Table6[[#This Row],[Total]]+Table6[[#This Row],[Penalty Applied]]</f>
        <v>128</v>
      </c>
      <c r="V109" s="78" t="s">
        <v>1</v>
      </c>
    </row>
    <row r="110" spans="4:22" x14ac:dyDescent="0.3">
      <c r="D110" s="87" t="s">
        <v>67</v>
      </c>
      <c r="E110" s="86"/>
      <c r="F110" s="86"/>
      <c r="G110" s="86"/>
      <c r="H110" s="86">
        <v>15</v>
      </c>
      <c r="I110" s="86">
        <v>20</v>
      </c>
      <c r="J110" s="86">
        <v>15</v>
      </c>
      <c r="K110" s="86"/>
      <c r="L110" s="86">
        <v>17</v>
      </c>
      <c r="M110" s="86">
        <v>17</v>
      </c>
      <c r="N110" s="86"/>
      <c r="O110" s="86">
        <v>9</v>
      </c>
      <c r="P110" s="87">
        <v>15</v>
      </c>
      <c r="Q110" s="3">
        <f>SUM(Table6[[#This Row],[1]:[12]])</f>
        <v>108</v>
      </c>
      <c r="R110" s="3">
        <f>COUNTIF(E110:P110,"&gt;1")</f>
        <v>7</v>
      </c>
      <c r="S110" s="19" t="s">
        <v>102</v>
      </c>
      <c r="T110" s="78" t="str">
        <f>IF(Table6[[#This Row],[Observed? Y or N]]="N", "-20", "0")</f>
        <v>0</v>
      </c>
      <c r="U110" s="78">
        <f>Table6[[#This Row],[Total]]+Table6[[#This Row],[Penalty Applied]]</f>
        <v>108</v>
      </c>
      <c r="V110" s="78" t="s">
        <v>2</v>
      </c>
    </row>
    <row r="111" spans="4:22" x14ac:dyDescent="0.3">
      <c r="D111" s="87" t="s">
        <v>96</v>
      </c>
      <c r="E111" s="86"/>
      <c r="F111" s="86"/>
      <c r="G111" s="86"/>
      <c r="H111" s="86">
        <v>17</v>
      </c>
      <c r="I111" s="86">
        <v>17</v>
      </c>
      <c r="J111" s="86">
        <v>20</v>
      </c>
      <c r="K111" s="86">
        <v>15</v>
      </c>
      <c r="L111" s="86">
        <v>20</v>
      </c>
      <c r="M111" s="86"/>
      <c r="N111" s="86"/>
      <c r="O111" s="51"/>
      <c r="P111" s="50"/>
      <c r="Q111" s="3">
        <f>SUM(Table6[[#This Row],[1]:[12]])</f>
        <v>89</v>
      </c>
      <c r="R111" s="3">
        <f>COUNTIF(E111:P111,"&gt;1")</f>
        <v>5</v>
      </c>
      <c r="S111" s="19" t="s">
        <v>235</v>
      </c>
      <c r="T111" s="78" t="str">
        <f>IF(Table6[[#This Row],[Observed? Y or N]]="N", "-20", "0")</f>
        <v>0</v>
      </c>
      <c r="U111" s="78">
        <f>Table6[[#This Row],[Total]]+Table6[[#This Row],[Penalty Applied]]</f>
        <v>89</v>
      </c>
      <c r="V111" s="78"/>
    </row>
    <row r="112" spans="4:22" x14ac:dyDescent="0.3">
      <c r="D112" s="87" t="s">
        <v>148</v>
      </c>
      <c r="E112" s="86"/>
      <c r="F112" s="86"/>
      <c r="G112" s="86"/>
      <c r="H112" s="86">
        <v>9</v>
      </c>
      <c r="I112" s="86">
        <v>8</v>
      </c>
      <c r="J112" s="86"/>
      <c r="K112" s="86">
        <v>10</v>
      </c>
      <c r="L112" s="86"/>
      <c r="M112" s="86"/>
      <c r="N112" s="86">
        <v>15</v>
      </c>
      <c r="O112" s="86">
        <v>11</v>
      </c>
      <c r="P112" s="87">
        <v>13</v>
      </c>
      <c r="Q112" s="90">
        <f>SUM(Table6[[#This Row],[1]:[12]])</f>
        <v>66</v>
      </c>
      <c r="R112" s="90">
        <f>COUNTIF(E112:P112,"&gt;1")</f>
        <v>6</v>
      </c>
      <c r="S112" s="19" t="s">
        <v>102</v>
      </c>
      <c r="T112" s="78" t="str">
        <f>IF(Table6[[#This Row],[Observed? Y or N]]="N", "-20", "0")</f>
        <v>0</v>
      </c>
      <c r="U112" s="78">
        <f>Table6[[#This Row],[Total]]+Table6[[#This Row],[Penalty Applied]]</f>
        <v>66</v>
      </c>
      <c r="V112" s="78"/>
    </row>
    <row r="113" spans="4:24" x14ac:dyDescent="0.3">
      <c r="D113" s="87" t="s">
        <v>111</v>
      </c>
      <c r="E113" s="86"/>
      <c r="F113" s="86"/>
      <c r="G113" s="86"/>
      <c r="H113" s="86"/>
      <c r="I113" s="86"/>
      <c r="J113" s="86"/>
      <c r="K113" s="86">
        <v>9</v>
      </c>
      <c r="L113" s="86">
        <v>8</v>
      </c>
      <c r="M113" s="86">
        <v>15</v>
      </c>
      <c r="N113" s="86">
        <v>13</v>
      </c>
      <c r="O113" s="86">
        <v>7</v>
      </c>
      <c r="P113" s="87">
        <v>11</v>
      </c>
      <c r="Q113" s="90">
        <f>SUM(Table6[[#This Row],[1]:[12]])</f>
        <v>63</v>
      </c>
      <c r="R113" s="90">
        <f>COUNTIF(E113:P113,"&gt;1")</f>
        <v>6</v>
      </c>
      <c r="S113" s="19" t="s">
        <v>102</v>
      </c>
      <c r="T113" s="78" t="str">
        <f>IF(Table6[[#This Row],[Observed? Y or N]]="N", "-20", "0")</f>
        <v>0</v>
      </c>
      <c r="U113" s="78">
        <f>Table6[[#This Row],[Total]]+Table6[[#This Row],[Penalty Applied]]</f>
        <v>63</v>
      </c>
      <c r="V113" s="78"/>
    </row>
    <row r="114" spans="4:24" ht="15" x14ac:dyDescent="0.3">
      <c r="D114" s="87" t="s">
        <v>70</v>
      </c>
      <c r="E114" s="86">
        <v>15</v>
      </c>
      <c r="F114" s="86"/>
      <c r="G114" s="86"/>
      <c r="H114" s="86">
        <v>7</v>
      </c>
      <c r="I114" s="86">
        <v>6</v>
      </c>
      <c r="J114" s="86"/>
      <c r="K114" s="86"/>
      <c r="L114" s="86">
        <v>7</v>
      </c>
      <c r="M114" s="86"/>
      <c r="N114" s="86"/>
      <c r="O114" s="86"/>
      <c r="P114" s="87">
        <v>10</v>
      </c>
      <c r="Q114" s="90">
        <f>SUM(Table6[[#This Row],[1]:[12]])</f>
        <v>45</v>
      </c>
      <c r="R114" s="90">
        <f>COUNTIF(E114:P114,"&gt;1")</f>
        <v>5</v>
      </c>
      <c r="S114" s="19" t="s">
        <v>102</v>
      </c>
      <c r="T114" s="78" t="str">
        <f>IF(Table6[[#This Row],[Observed? Y or N]]="N", "-20", "0")</f>
        <v>0</v>
      </c>
      <c r="U114" s="78">
        <f>Table6[[#This Row],[Total]]+Table6[[#This Row],[Penalty Applied]]</f>
        <v>45</v>
      </c>
      <c r="V114" s="78"/>
      <c r="X114" s="44"/>
    </row>
    <row r="115" spans="4:24" ht="15" x14ac:dyDescent="0.3">
      <c r="D115" s="50" t="s">
        <v>146</v>
      </c>
      <c r="E115" s="51"/>
      <c r="F115" s="51">
        <v>13</v>
      </c>
      <c r="G115" s="51"/>
      <c r="H115" s="51">
        <v>13</v>
      </c>
      <c r="I115" s="51">
        <v>15</v>
      </c>
      <c r="J115" s="51"/>
      <c r="K115" s="51"/>
      <c r="L115" s="51">
        <v>10</v>
      </c>
      <c r="M115" s="51"/>
      <c r="N115" s="51"/>
      <c r="O115" s="51">
        <v>13</v>
      </c>
      <c r="P115" s="50"/>
      <c r="Q115" s="3">
        <f>SUM(Table6[[#This Row],[1]:[12]])</f>
        <v>64</v>
      </c>
      <c r="R115" s="3">
        <f>COUNTIF(E115:P115,"&gt;1")</f>
        <v>5</v>
      </c>
      <c r="S115" s="19" t="s">
        <v>101</v>
      </c>
      <c r="T115" s="54" t="str">
        <f>IF(Table6[[#This Row],[Observed? Y or N]]="N", "-20", "0")</f>
        <v>-20</v>
      </c>
      <c r="U115" s="54">
        <f>Table6[[#This Row],[Total]]+Table6[[#This Row],[Penalty Applied]]</f>
        <v>44</v>
      </c>
      <c r="V115" s="54"/>
      <c r="X115" s="44"/>
    </row>
    <row r="116" spans="4:24" ht="15" x14ac:dyDescent="0.3">
      <c r="D116" s="87" t="s">
        <v>90</v>
      </c>
      <c r="E116" s="86"/>
      <c r="F116" s="86">
        <v>10</v>
      </c>
      <c r="G116" s="86"/>
      <c r="H116" s="86">
        <v>10</v>
      </c>
      <c r="I116" s="86">
        <v>9</v>
      </c>
      <c r="J116" s="86">
        <v>13</v>
      </c>
      <c r="K116" s="86"/>
      <c r="L116" s="86"/>
      <c r="M116" s="86"/>
      <c r="N116" s="86"/>
      <c r="O116" s="86"/>
      <c r="P116" s="87"/>
      <c r="Q116" s="90">
        <f>SUM(Table6[[#This Row],[1]:[12]])</f>
        <v>42</v>
      </c>
      <c r="R116" s="90">
        <f>COUNTIF(E116:P116,"&gt;1")</f>
        <v>4</v>
      </c>
      <c r="S116" s="19" t="s">
        <v>102</v>
      </c>
      <c r="T116" s="78" t="str">
        <f>IF(Table6[[#This Row],[Observed? Y or N]]="N", "-20", "0")</f>
        <v>0</v>
      </c>
      <c r="U116" s="78">
        <f>Table6[[#This Row],[Total]]+Table6[[#This Row],[Penalty Applied]]</f>
        <v>42</v>
      </c>
      <c r="V116" s="78"/>
      <c r="X116" s="44"/>
    </row>
    <row r="117" spans="4:24" ht="15" x14ac:dyDescent="0.3">
      <c r="D117" s="19" t="s">
        <v>68</v>
      </c>
      <c r="F117">
        <v>17</v>
      </c>
      <c r="H117">
        <v>8</v>
      </c>
      <c r="I117">
        <v>13</v>
      </c>
      <c r="L117">
        <v>11</v>
      </c>
      <c r="O117">
        <v>8</v>
      </c>
      <c r="P117" s="19"/>
      <c r="Q117" s="3">
        <f>SUM(Table6[[#This Row],[1]:[12]])</f>
        <v>57</v>
      </c>
      <c r="R117" s="3">
        <f>COUNTIF(E117:P117,"&gt;1")</f>
        <v>5</v>
      </c>
      <c r="S117" s="19" t="s">
        <v>101</v>
      </c>
      <c r="T117" s="54" t="str">
        <f>IF(Table6[[#This Row],[Observed? Y or N]]="N", "-20", "0")</f>
        <v>-20</v>
      </c>
      <c r="U117" s="54">
        <f>Table6[[#This Row],[Total]]+Table6[[#This Row],[Penalty Applied]]</f>
        <v>37</v>
      </c>
      <c r="V117" s="54"/>
      <c r="X117" s="44"/>
    </row>
    <row r="118" spans="4:24" ht="15" x14ac:dyDescent="0.3">
      <c r="D118" s="50" t="s">
        <v>142</v>
      </c>
      <c r="E118" s="51"/>
      <c r="F118" s="51"/>
      <c r="G118" s="51"/>
      <c r="H118" s="51"/>
      <c r="I118" s="51">
        <v>7</v>
      </c>
      <c r="J118" s="51"/>
      <c r="K118" s="51"/>
      <c r="L118" s="51"/>
      <c r="M118" s="51"/>
      <c r="N118" s="51">
        <v>11</v>
      </c>
      <c r="O118" s="51">
        <v>10</v>
      </c>
      <c r="P118" s="50">
        <v>17</v>
      </c>
      <c r="Q118" s="52">
        <f>SUM(Table6[[#This Row],[1]:[12]])</f>
        <v>45</v>
      </c>
      <c r="R118" s="52">
        <f>COUNTIF(E118:P118,"&gt;1")</f>
        <v>4</v>
      </c>
      <c r="S118" s="19" t="s">
        <v>101</v>
      </c>
      <c r="T118" s="54" t="str">
        <f>IF(Table6[[#This Row],[Observed? Y or N]]="N", "-20", "0")</f>
        <v>-20</v>
      </c>
      <c r="U118" s="54">
        <f>Table6[[#This Row],[Total]]+Table6[[#This Row],[Penalty Applied]]</f>
        <v>25</v>
      </c>
      <c r="V118" s="54"/>
      <c r="X118" s="44"/>
    </row>
    <row r="119" spans="4:24" ht="15" x14ac:dyDescent="0.3">
      <c r="D119" s="50" t="s">
        <v>110</v>
      </c>
      <c r="E119" s="51"/>
      <c r="F119" s="51"/>
      <c r="G119" s="51"/>
      <c r="H119" s="51"/>
      <c r="I119" s="51">
        <v>10</v>
      </c>
      <c r="J119" s="51"/>
      <c r="K119" s="51">
        <v>8</v>
      </c>
      <c r="L119" s="51">
        <v>6</v>
      </c>
      <c r="M119" s="51"/>
      <c r="N119" s="51"/>
      <c r="O119" s="51"/>
      <c r="P119" s="50"/>
      <c r="Q119" s="52">
        <f>SUM(Table6[[#This Row],[1]:[12]])</f>
        <v>24</v>
      </c>
      <c r="R119" s="52">
        <f>COUNTIF(E119:P119,"&gt;1")</f>
        <v>3</v>
      </c>
      <c r="S119" s="19" t="s">
        <v>101</v>
      </c>
      <c r="T119" s="54" t="str">
        <f>IF(Table6[[#This Row],[Observed? Y or N]]="N", "-20", "0")</f>
        <v>-20</v>
      </c>
      <c r="U119" s="54">
        <f>Table6[[#This Row],[Total]]+Table6[[#This Row],[Penalty Applied]]</f>
        <v>4</v>
      </c>
      <c r="V119" s="54"/>
      <c r="X119" s="44"/>
    </row>
    <row r="120" spans="4:24" x14ac:dyDescent="0.3">
      <c r="D120" s="50" t="s">
        <v>253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>
        <v>20</v>
      </c>
      <c r="P120" s="50"/>
      <c r="Q120" s="52">
        <f>SUM(Table6[[#This Row],[1]:[12]])</f>
        <v>20</v>
      </c>
      <c r="R120" s="52">
        <f>COUNTIF(E120:P120,"&gt;1")</f>
        <v>1</v>
      </c>
      <c r="S120" s="19" t="s">
        <v>101</v>
      </c>
      <c r="T120" s="54" t="str">
        <f>IF(Table6[[#This Row],[Observed? Y or N]]="N", "-20", "0")</f>
        <v>-20</v>
      </c>
      <c r="U120" s="54">
        <f>Table6[[#This Row],[Total]]+Table6[[#This Row],[Penalty Applied]]</f>
        <v>0</v>
      </c>
      <c r="V120" s="54"/>
    </row>
    <row r="121" spans="4:24" x14ac:dyDescent="0.3">
      <c r="D121" s="50" t="s">
        <v>71</v>
      </c>
      <c r="E121" s="51"/>
      <c r="F121" s="51"/>
      <c r="G121" s="51"/>
      <c r="H121" s="51"/>
      <c r="I121" s="51"/>
      <c r="J121" s="51"/>
      <c r="K121" s="51">
        <v>13</v>
      </c>
      <c r="L121" s="51"/>
      <c r="M121" s="51"/>
      <c r="N121" s="51"/>
      <c r="O121" s="51"/>
      <c r="P121" s="50"/>
      <c r="Q121" s="52">
        <f>SUM(Table6[[#This Row],[1]:[12]])</f>
        <v>13</v>
      </c>
      <c r="R121" s="52">
        <f>COUNTIF(E121:P121,"&gt;1")</f>
        <v>1</v>
      </c>
      <c r="S121" s="19" t="s">
        <v>101</v>
      </c>
      <c r="T121" s="54" t="str">
        <f>IF(Table6[[#This Row],[Observed? Y or N]]="N", "-20", "0")</f>
        <v>-20</v>
      </c>
      <c r="U121" s="54">
        <f>Table6[[#This Row],[Total]]+Table6[[#This Row],[Penalty Applied]]</f>
        <v>-7</v>
      </c>
      <c r="V121" s="54"/>
    </row>
    <row r="122" spans="4:24" x14ac:dyDescent="0.3">
      <c r="D122" s="19" t="s">
        <v>114</v>
      </c>
      <c r="I122">
        <v>11</v>
      </c>
      <c r="P122" s="19"/>
      <c r="Q122" s="3">
        <f>SUM(Table6[[#This Row],[1]:[12]])</f>
        <v>11</v>
      </c>
      <c r="R122" s="3">
        <f>COUNTIF(E122:P122,"&gt;1")</f>
        <v>1</v>
      </c>
      <c r="S122" s="19" t="s">
        <v>101</v>
      </c>
      <c r="T122" s="54" t="str">
        <f>IF(Table6[[#This Row],[Observed? Y or N]]="N", "-20", "0")</f>
        <v>-20</v>
      </c>
      <c r="U122" s="54">
        <f>Table6[[#This Row],[Total]]+Table6[[#This Row],[Penalty Applied]]</f>
        <v>-9</v>
      </c>
      <c r="V122" s="54"/>
    </row>
    <row r="123" spans="4:24" x14ac:dyDescent="0.3">
      <c r="D123" s="50" t="s">
        <v>119</v>
      </c>
      <c r="E123" s="51"/>
      <c r="F123" s="51"/>
      <c r="G123" s="51"/>
      <c r="H123" s="51"/>
      <c r="I123" s="51"/>
      <c r="J123" s="51"/>
      <c r="K123" s="51">
        <v>11</v>
      </c>
      <c r="L123" s="51"/>
      <c r="M123" s="51"/>
      <c r="N123" s="51"/>
      <c r="O123" s="51"/>
      <c r="P123" s="50"/>
      <c r="Q123" s="52">
        <f>SUM(Table6[[#This Row],[1]:[12]])</f>
        <v>11</v>
      </c>
      <c r="R123" s="52">
        <f>COUNTIF(E123:P123,"&gt;1")</f>
        <v>1</v>
      </c>
      <c r="S123" s="19" t="s">
        <v>101</v>
      </c>
      <c r="T123" s="54" t="str">
        <f>IF(Table6[[#This Row],[Observed? Y or N]]="N", "-20", "0")</f>
        <v>-20</v>
      </c>
      <c r="U123" s="54">
        <f>Table6[[#This Row],[Total]]+Table6[[#This Row],[Penalty Applied]]</f>
        <v>-9</v>
      </c>
      <c r="V123" s="54"/>
    </row>
    <row r="124" spans="4:24" x14ac:dyDescent="0.3">
      <c r="D124" s="50" t="s">
        <v>69</v>
      </c>
      <c r="E124" s="51"/>
      <c r="F124" s="51">
        <v>11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0"/>
      <c r="Q124" s="52">
        <f>SUM(Table6[[#This Row],[1]:[12]])</f>
        <v>11</v>
      </c>
      <c r="R124" s="52">
        <f>COUNTIF(E124:P124,"&gt;1")</f>
        <v>1</v>
      </c>
      <c r="S124" s="19" t="s">
        <v>101</v>
      </c>
      <c r="T124" s="54" t="str">
        <f>IF(Table6[[#This Row],[Observed? Y or N]]="N", "-20", "0")</f>
        <v>-20</v>
      </c>
      <c r="U124" s="54">
        <f>Table6[[#This Row],[Total]]+Table6[[#This Row],[Penalty Applied]]</f>
        <v>-9</v>
      </c>
      <c r="V124" s="54"/>
    </row>
    <row r="125" spans="4:24" x14ac:dyDescent="0.3">
      <c r="D125" s="50" t="s">
        <v>200</v>
      </c>
      <c r="E125" s="51"/>
      <c r="F125" s="51">
        <v>9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0"/>
      <c r="Q125" s="52">
        <f>SUM(Table6[[#This Row],[1]:[12]])</f>
        <v>9</v>
      </c>
      <c r="R125" s="52">
        <f>COUNTIF(E125:P125,"&gt;1")</f>
        <v>1</v>
      </c>
      <c r="S125" s="19" t="s">
        <v>101</v>
      </c>
      <c r="T125" s="54" t="str">
        <f>IF(Table6[[#This Row],[Observed? Y or N]]="N", "-20", "0")</f>
        <v>-20</v>
      </c>
      <c r="U125" s="54">
        <f>Table6[[#This Row],[Total]]+Table6[[#This Row],[Penalty Applied]]</f>
        <v>-11</v>
      </c>
      <c r="V125" s="54"/>
    </row>
    <row r="126" spans="4:24" x14ac:dyDescent="0.3">
      <c r="D126" s="50" t="s">
        <v>221</v>
      </c>
      <c r="E126" s="51"/>
      <c r="F126" s="51"/>
      <c r="G126" s="51"/>
      <c r="H126" s="51"/>
      <c r="I126" s="51"/>
      <c r="J126" s="51"/>
      <c r="K126" s="51"/>
      <c r="L126" s="51">
        <v>9</v>
      </c>
      <c r="M126" s="51"/>
      <c r="N126" s="51"/>
      <c r="O126" s="51"/>
      <c r="P126" s="50"/>
      <c r="Q126" s="52">
        <f>SUM(Table6[[#This Row],[1]:[12]])</f>
        <v>9</v>
      </c>
      <c r="R126" s="52">
        <f>COUNTIF(E126:P126,"&gt;1")</f>
        <v>1</v>
      </c>
      <c r="S126" s="19" t="s">
        <v>101</v>
      </c>
      <c r="T126" s="54" t="str">
        <f>IF(Table6[[#This Row],[Observed? Y or N]]="N", "-20", "0")</f>
        <v>-20</v>
      </c>
      <c r="U126" s="54">
        <f>Table6[[#This Row],[Total]]+Table6[[#This Row],[Penalty Applied]]</f>
        <v>-11</v>
      </c>
      <c r="V126" s="54"/>
    </row>
    <row r="127" spans="4:24" x14ac:dyDescent="0.3">
      <c r="D127" s="50" t="s">
        <v>252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0">
        <v>9</v>
      </c>
      <c r="Q127" s="52">
        <f>SUM(Table6[[#This Row],[1]:[12]])</f>
        <v>9</v>
      </c>
      <c r="R127" s="52">
        <f>COUNTIF(E127:P127,"&gt;1")</f>
        <v>1</v>
      </c>
      <c r="S127" s="19" t="s">
        <v>101</v>
      </c>
      <c r="T127" s="54" t="str">
        <f>IF(Table6[[#This Row],[Observed? Y or N]]="N", "-20", "0")</f>
        <v>-20</v>
      </c>
      <c r="U127" s="54">
        <f>Table6[[#This Row],[Total]]+Table6[[#This Row],[Penalty Applied]]</f>
        <v>-11</v>
      </c>
      <c r="V127" s="54"/>
    </row>
    <row r="128" spans="4:24" x14ac:dyDescent="0.3">
      <c r="D128" s="50" t="s">
        <v>201</v>
      </c>
      <c r="E128" s="51"/>
      <c r="F128" s="51">
        <v>8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0"/>
      <c r="Q128" s="52">
        <f>SUM(Table6[[#This Row],[1]:[12]])</f>
        <v>8</v>
      </c>
      <c r="R128" s="52">
        <f>COUNTIF(E128:P128,"&gt;1")</f>
        <v>1</v>
      </c>
      <c r="S128" s="19" t="s">
        <v>101</v>
      </c>
      <c r="T128" s="54" t="str">
        <f>IF(Table6[[#This Row],[Observed? Y or N]]="N", "-20", "0")</f>
        <v>-20</v>
      </c>
      <c r="U128" s="54">
        <f>Table6[[#This Row],[Total]]+Table6[[#This Row],[Penalty Applied]]</f>
        <v>-12</v>
      </c>
      <c r="V128" s="54"/>
    </row>
    <row r="129" spans="4:22" x14ac:dyDescent="0.3">
      <c r="D129" s="50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0"/>
      <c r="Q129" s="52">
        <f>SUM(Table6[[#This Row],[1]:[12]])</f>
        <v>0</v>
      </c>
      <c r="R129" s="52">
        <f>COUNTIF(E129:P129,"&gt;1")</f>
        <v>0</v>
      </c>
      <c r="S129" s="19" t="s">
        <v>101</v>
      </c>
      <c r="T129" s="54" t="str">
        <f>IF(Table6[[#This Row],[Observed? Y or N]]="N", "-20", "0")</f>
        <v>-20</v>
      </c>
      <c r="U129" s="54">
        <f>Table6[[#This Row],[Total]]+Table6[[#This Row],[Penalty Applied]]</f>
        <v>-20</v>
      </c>
      <c r="V129" s="54"/>
    </row>
    <row r="130" spans="4:22" x14ac:dyDescent="0.3">
      <c r="D130" s="5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0"/>
      <c r="Q130" s="52">
        <f>SUM(Table6[[#This Row],[1]:[12]])</f>
        <v>0</v>
      </c>
      <c r="R130" s="52">
        <f>COUNTIF(E130:P130,"&gt;1")</f>
        <v>0</v>
      </c>
      <c r="S130" s="19" t="s">
        <v>101</v>
      </c>
      <c r="T130" s="54" t="str">
        <f>IF(Table6[[#This Row],[Observed? Y or N]]="N", "-20", "0")</f>
        <v>-20</v>
      </c>
      <c r="U130" s="54">
        <f>Table6[[#This Row],[Total]]+Table6[[#This Row],[Penalty Applied]]</f>
        <v>-20</v>
      </c>
      <c r="V130" s="54"/>
    </row>
    <row r="131" spans="4:22" x14ac:dyDescent="0.3">
      <c r="D131" s="50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0"/>
      <c r="Q131" s="52">
        <f>SUM(Table6[[#This Row],[1]:[12]])</f>
        <v>0</v>
      </c>
      <c r="R131" s="52">
        <f>COUNTIF(E131:P131,"&gt;1")</f>
        <v>0</v>
      </c>
      <c r="S131" s="19" t="s">
        <v>101</v>
      </c>
      <c r="T131" s="54" t="str">
        <f>IF(Table6[[#This Row],[Observed? Y or N]]="N", "-20", "0")</f>
        <v>-20</v>
      </c>
      <c r="U131" s="54">
        <f>Table6[[#This Row],[Total]]+Table6[[#This Row],[Penalty Applied]]</f>
        <v>-20</v>
      </c>
      <c r="V131" s="54"/>
    </row>
    <row r="132" spans="4:22" x14ac:dyDescent="0.3">
      <c r="D132" s="5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0"/>
      <c r="Q132" s="52">
        <f>SUM(Table6[[#This Row],[1]:[12]])</f>
        <v>0</v>
      </c>
      <c r="R132" s="52">
        <f>COUNTIF(E132:P132,"&gt;1")</f>
        <v>0</v>
      </c>
      <c r="S132" s="19" t="s">
        <v>101</v>
      </c>
      <c r="T132" s="54" t="str">
        <f>IF(Table6[[#This Row],[Observed? Y or N]]="N", "-20", "0")</f>
        <v>-20</v>
      </c>
      <c r="U132" s="54">
        <f>Table6[[#This Row],[Total]]+Table6[[#This Row],[Penalty Applied]]</f>
        <v>-20</v>
      </c>
      <c r="V132" s="54"/>
    </row>
    <row r="134" spans="4:22" ht="15" thickBot="1" x14ac:dyDescent="0.35"/>
    <row r="135" spans="4:22" ht="153" thickBot="1" x14ac:dyDescent="0.35">
      <c r="D135" s="47" t="s">
        <v>39</v>
      </c>
      <c r="E135" s="46" t="s">
        <v>120</v>
      </c>
      <c r="F135" s="46" t="s">
        <v>121</v>
      </c>
      <c r="G135" s="46" t="s">
        <v>122</v>
      </c>
      <c r="H135" s="46" t="s">
        <v>123</v>
      </c>
      <c r="I135" s="46" t="s">
        <v>124</v>
      </c>
      <c r="J135" s="46" t="s">
        <v>125</v>
      </c>
      <c r="K135" s="46" t="s">
        <v>126</v>
      </c>
      <c r="L135" s="46" t="s">
        <v>127</v>
      </c>
      <c r="M135" s="46" t="s">
        <v>128</v>
      </c>
      <c r="N135" s="46" t="s">
        <v>129</v>
      </c>
      <c r="O135" s="46" t="s">
        <v>130</v>
      </c>
      <c r="P135" s="46" t="s">
        <v>131</v>
      </c>
      <c r="Q135" s="13" t="s">
        <v>34</v>
      </c>
      <c r="R135" s="13" t="s">
        <v>45</v>
      </c>
      <c r="S135" s="109" t="s">
        <v>99</v>
      </c>
      <c r="T135" s="13" t="s">
        <v>103</v>
      </c>
      <c r="U135" s="43" t="s">
        <v>100</v>
      </c>
      <c r="V135" s="43" t="s">
        <v>15</v>
      </c>
    </row>
    <row r="136" spans="4:22" x14ac:dyDescent="0.3">
      <c r="D136" s="88" t="s">
        <v>150</v>
      </c>
      <c r="E136" s="86"/>
      <c r="F136" s="96">
        <v>15</v>
      </c>
      <c r="G136" s="96"/>
      <c r="H136" s="96">
        <v>17</v>
      </c>
      <c r="I136" s="96">
        <v>17</v>
      </c>
      <c r="J136" s="96">
        <v>17</v>
      </c>
      <c r="K136" s="96">
        <v>20</v>
      </c>
      <c r="L136" s="96">
        <v>15</v>
      </c>
      <c r="M136" s="96">
        <v>20</v>
      </c>
      <c r="N136" s="96"/>
      <c r="O136" s="96">
        <v>13</v>
      </c>
      <c r="P136" s="85">
        <v>20</v>
      </c>
      <c r="Q136" s="88">
        <f>SUM(Table7[[#This Row],[1]:[12]])</f>
        <v>154</v>
      </c>
      <c r="R136" s="90">
        <f t="shared" ref="R136:R163" si="5">COUNTIF(E136:P136,"&gt;1")</f>
        <v>9</v>
      </c>
      <c r="S136" s="22" t="s">
        <v>102</v>
      </c>
      <c r="T136" s="2" t="str">
        <f>IF(Table7[[#This Row],[Observed? Y or N]]="N", "-20", "0")</f>
        <v>0</v>
      </c>
      <c r="U136">
        <f>Table7[[#This Row],[Total]]-Table7[[#This Row],[11]]</f>
        <v>141</v>
      </c>
      <c r="V136" s="2" t="s">
        <v>0</v>
      </c>
    </row>
    <row r="137" spans="4:22" x14ac:dyDescent="0.3">
      <c r="D137" s="90" t="s">
        <v>149</v>
      </c>
      <c r="E137" s="86"/>
      <c r="F137" s="97">
        <v>11</v>
      </c>
      <c r="G137" s="97"/>
      <c r="H137" s="97">
        <v>20</v>
      </c>
      <c r="I137" s="97">
        <v>15</v>
      </c>
      <c r="J137" s="97">
        <v>20</v>
      </c>
      <c r="K137" s="97"/>
      <c r="L137" s="97">
        <v>17</v>
      </c>
      <c r="M137" s="97">
        <v>10</v>
      </c>
      <c r="N137" s="97">
        <v>15</v>
      </c>
      <c r="O137" s="97">
        <v>17</v>
      </c>
      <c r="P137" s="87"/>
      <c r="Q137" s="90">
        <f>SUM(Table7[[#This Row],[1]:[12]])</f>
        <v>125</v>
      </c>
      <c r="R137" s="90">
        <f t="shared" si="5"/>
        <v>8</v>
      </c>
      <c r="S137" s="19" t="s">
        <v>102</v>
      </c>
      <c r="T137" s="3" t="str">
        <f>IF(Table7[[#This Row],[Observed? Y or N]]="N", "-20", "0")</f>
        <v>0</v>
      </c>
      <c r="U137">
        <f>Table7[[#This Row],[Total]]+Table7[[#This Row],[Penalty Applied]]</f>
        <v>125</v>
      </c>
      <c r="V137" s="3" t="s">
        <v>1</v>
      </c>
    </row>
    <row r="138" spans="4:22" x14ac:dyDescent="0.3">
      <c r="D138" s="90" t="s">
        <v>74</v>
      </c>
      <c r="E138" s="86">
        <v>7</v>
      </c>
      <c r="F138" s="86">
        <v>6</v>
      </c>
      <c r="G138" s="86"/>
      <c r="H138" s="86">
        <v>13</v>
      </c>
      <c r="I138" s="86">
        <v>11</v>
      </c>
      <c r="J138" s="86"/>
      <c r="K138" s="86"/>
      <c r="L138" s="86"/>
      <c r="M138" s="86"/>
      <c r="N138" s="86"/>
      <c r="O138" s="86"/>
      <c r="P138" s="87">
        <v>17</v>
      </c>
      <c r="Q138" s="90">
        <f>SUM(Table7[[#This Row],[1]:[12]])</f>
        <v>54</v>
      </c>
      <c r="R138" s="90">
        <f t="shared" si="5"/>
        <v>5</v>
      </c>
      <c r="S138" s="87" t="s">
        <v>102</v>
      </c>
      <c r="T138" s="78" t="str">
        <f>IF(Table7[[#This Row],[Observed? Y or N]]="N", "-20", "0")</f>
        <v>0</v>
      </c>
      <c r="U138" s="65">
        <f>Table7[[#This Row],[Total]]+Table7[[#This Row],[Penalty Applied]]</f>
        <v>54</v>
      </c>
      <c r="V138" s="78" t="s">
        <v>2</v>
      </c>
    </row>
    <row r="139" spans="4:22" x14ac:dyDescent="0.3">
      <c r="D139" s="90" t="s">
        <v>152</v>
      </c>
      <c r="E139" s="86"/>
      <c r="F139" s="86"/>
      <c r="G139" s="86"/>
      <c r="H139" s="86">
        <v>10</v>
      </c>
      <c r="I139" s="86"/>
      <c r="J139" s="86"/>
      <c r="K139" s="86"/>
      <c r="L139" s="86"/>
      <c r="M139" s="86">
        <v>17</v>
      </c>
      <c r="N139" s="86"/>
      <c r="O139" s="86"/>
      <c r="P139" s="87"/>
      <c r="Q139" s="90">
        <f>SUM(Table7[[#This Row],[1]:[12]])</f>
        <v>27</v>
      </c>
      <c r="R139" s="90">
        <f t="shared" si="5"/>
        <v>2</v>
      </c>
      <c r="S139" s="19" t="s">
        <v>102</v>
      </c>
      <c r="T139" s="78" t="str">
        <f>IF(Table7[[#This Row],[Observed? Y or N]]="N", "-20", "0")</f>
        <v>0</v>
      </c>
      <c r="U139" s="65">
        <f>Table7[[#This Row],[Total]]+Table7[[#This Row],[Penalty Applied]]</f>
        <v>27</v>
      </c>
      <c r="V139" s="78"/>
    </row>
    <row r="140" spans="4:22" x14ac:dyDescent="0.3">
      <c r="D140" s="90" t="s">
        <v>92</v>
      </c>
      <c r="E140" s="86"/>
      <c r="F140" s="86">
        <v>1</v>
      </c>
      <c r="G140" s="86"/>
      <c r="H140" s="86">
        <v>11</v>
      </c>
      <c r="I140" s="86"/>
      <c r="J140" s="86"/>
      <c r="K140" s="86"/>
      <c r="L140" s="86">
        <v>9</v>
      </c>
      <c r="M140" s="86"/>
      <c r="N140" s="86"/>
      <c r="O140" s="86">
        <v>4</v>
      </c>
      <c r="P140" s="87"/>
      <c r="Q140" s="90">
        <f>SUM(Table7[[#This Row],[1]:[12]])</f>
        <v>25</v>
      </c>
      <c r="R140" s="90">
        <f t="shared" si="5"/>
        <v>3</v>
      </c>
      <c r="S140" s="19" t="s">
        <v>102</v>
      </c>
      <c r="T140" s="78" t="str">
        <f>IF(Table7[[#This Row],[Observed? Y or N]]="N", "-20", "0")</f>
        <v>0</v>
      </c>
      <c r="U140" s="65">
        <f>Table7[[#This Row],[Total]]+Table7[[#This Row],[Penalty Applied]]</f>
        <v>25</v>
      </c>
      <c r="V140" s="78"/>
    </row>
    <row r="141" spans="4:22" x14ac:dyDescent="0.3">
      <c r="D141" s="90" t="s">
        <v>70</v>
      </c>
      <c r="E141" s="86"/>
      <c r="F141" s="86"/>
      <c r="G141" s="86"/>
      <c r="H141" s="86"/>
      <c r="I141" s="86"/>
      <c r="J141" s="86"/>
      <c r="K141" s="86"/>
      <c r="L141" s="86"/>
      <c r="M141" s="86">
        <v>13</v>
      </c>
      <c r="N141" s="86">
        <v>11</v>
      </c>
      <c r="O141" s="86"/>
      <c r="P141" s="87"/>
      <c r="Q141" s="90">
        <f>SUM(Table7[[#This Row],[1]:[12]])</f>
        <v>24</v>
      </c>
      <c r="R141" s="90">
        <f t="shared" si="5"/>
        <v>2</v>
      </c>
      <c r="S141" s="19" t="s">
        <v>102</v>
      </c>
      <c r="T141" s="78" t="str">
        <f>IF(Table7[[#This Row],[Observed? Y or N]]="N", "-20", "0")</f>
        <v>0</v>
      </c>
      <c r="U141" s="65">
        <f>Table7[[#This Row],[Total]]+Table7[[#This Row],[Penalty Applied]]</f>
        <v>24</v>
      </c>
      <c r="V141" s="78"/>
    </row>
    <row r="142" spans="4:22" x14ac:dyDescent="0.3">
      <c r="D142" s="50" t="s">
        <v>151</v>
      </c>
      <c r="E142" s="51"/>
      <c r="F142" s="51">
        <v>7</v>
      </c>
      <c r="G142" s="51"/>
      <c r="H142" s="51">
        <v>15</v>
      </c>
      <c r="I142" s="51">
        <v>20</v>
      </c>
      <c r="J142" s="51"/>
      <c r="K142" s="51"/>
      <c r="L142" s="51"/>
      <c r="M142" s="51"/>
      <c r="N142" s="51"/>
      <c r="O142" s="51"/>
      <c r="P142" s="50"/>
      <c r="Q142" s="52">
        <f>SUM(Table7[[#This Row],[1]:[12]])</f>
        <v>42</v>
      </c>
      <c r="R142" s="52">
        <f t="shared" si="5"/>
        <v>3</v>
      </c>
      <c r="S142" s="19" t="s">
        <v>101</v>
      </c>
      <c r="T142" s="54" t="str">
        <f>IF(Table7[[#This Row],[Observed? Y or N]]="N", "-20", "0")</f>
        <v>-20</v>
      </c>
      <c r="U142" s="49">
        <f>Table7[[#This Row],[Total]]+Table7[[#This Row],[Penalty Applied]]</f>
        <v>22</v>
      </c>
      <c r="V142" s="54"/>
    </row>
    <row r="143" spans="4:22" x14ac:dyDescent="0.3">
      <c r="D143" s="87" t="s">
        <v>236</v>
      </c>
      <c r="E143" s="86"/>
      <c r="F143" s="86"/>
      <c r="G143" s="86"/>
      <c r="H143" s="86"/>
      <c r="I143" s="86"/>
      <c r="J143" s="86"/>
      <c r="K143" s="86"/>
      <c r="L143" s="86"/>
      <c r="M143" s="86">
        <v>11</v>
      </c>
      <c r="N143" s="86"/>
      <c r="O143" s="86">
        <v>11</v>
      </c>
      <c r="P143" s="87"/>
      <c r="Q143" s="90">
        <f>SUM(Table7[[#This Row],[1]:[12]])</f>
        <v>22</v>
      </c>
      <c r="R143" s="90">
        <f t="shared" si="5"/>
        <v>2</v>
      </c>
      <c r="S143" s="19" t="s">
        <v>102</v>
      </c>
      <c r="T143" s="78" t="str">
        <f>IF(Table7[[#This Row],[Observed? Y or N]]="N", "-20", "0")</f>
        <v>0</v>
      </c>
      <c r="U143" s="65">
        <f>Table7[[#This Row],[Total]]+Table7[[#This Row],[Penalty Applied]]</f>
        <v>22</v>
      </c>
      <c r="V143" s="78"/>
    </row>
    <row r="144" spans="4:22" x14ac:dyDescent="0.3">
      <c r="D144" s="90" t="s">
        <v>179</v>
      </c>
      <c r="E144" s="86"/>
      <c r="F144" s="86"/>
      <c r="G144" s="86"/>
      <c r="H144" s="86"/>
      <c r="I144" s="86"/>
      <c r="J144" s="86"/>
      <c r="K144" s="86">
        <v>15</v>
      </c>
      <c r="L144" s="86"/>
      <c r="M144" s="86"/>
      <c r="N144" s="86"/>
      <c r="O144" s="86"/>
      <c r="P144" s="87"/>
      <c r="Q144" s="90">
        <f>SUM(Table7[[#This Row],[1]:[12]])</f>
        <v>15</v>
      </c>
      <c r="R144" s="90">
        <f t="shared" si="5"/>
        <v>1</v>
      </c>
      <c r="S144" s="19" t="s">
        <v>102</v>
      </c>
      <c r="T144" s="78" t="str">
        <f>IF(Table7[[#This Row],[Observed? Y or N]]="N", "-20", "0")</f>
        <v>0</v>
      </c>
      <c r="U144" s="65">
        <f>Table7[[#This Row],[Total]]+Table7[[#This Row],[Penalty Applied]]</f>
        <v>15</v>
      </c>
      <c r="V144" s="78"/>
    </row>
    <row r="145" spans="4:24" x14ac:dyDescent="0.3">
      <c r="D145" s="87" t="s">
        <v>167</v>
      </c>
      <c r="E145" s="86"/>
      <c r="F145" s="86"/>
      <c r="G145" s="86"/>
      <c r="H145" s="86"/>
      <c r="I145" s="86"/>
      <c r="J145" s="86"/>
      <c r="K145" s="86"/>
      <c r="L145" s="86"/>
      <c r="M145" s="86">
        <v>15</v>
      </c>
      <c r="N145" s="86"/>
      <c r="O145" s="86"/>
      <c r="P145" s="87"/>
      <c r="Q145" s="90">
        <f>SUM(Table7[[#This Row],[1]:[12]])</f>
        <v>15</v>
      </c>
      <c r="R145" s="90">
        <f t="shared" si="5"/>
        <v>1</v>
      </c>
      <c r="S145" s="19" t="s">
        <v>102</v>
      </c>
      <c r="T145" s="78" t="str">
        <f>IF(Table7[[#This Row],[Observed? Y or N]]="N", "-20", "0")</f>
        <v>0</v>
      </c>
      <c r="U145" s="65">
        <f>Table7[[#This Row],[Total]]+Table7[[#This Row],[Penalty Applied]]</f>
        <v>15</v>
      </c>
      <c r="V145" s="78"/>
    </row>
    <row r="146" spans="4:24" x14ac:dyDescent="0.3">
      <c r="D146" s="50" t="s">
        <v>202</v>
      </c>
      <c r="E146" s="51"/>
      <c r="F146" s="51">
        <v>20</v>
      </c>
      <c r="G146" s="51"/>
      <c r="H146" s="51"/>
      <c r="I146" s="51"/>
      <c r="J146" s="51"/>
      <c r="K146" s="51"/>
      <c r="L146" s="51">
        <v>13</v>
      </c>
      <c r="M146" s="51"/>
      <c r="N146" s="51"/>
      <c r="O146" s="51"/>
      <c r="P146" s="50"/>
      <c r="Q146" s="52">
        <f>SUM(Table7[[#This Row],[1]:[12]])</f>
        <v>33</v>
      </c>
      <c r="R146" s="52">
        <f t="shared" si="5"/>
        <v>2</v>
      </c>
      <c r="S146" s="19" t="s">
        <v>101</v>
      </c>
      <c r="T146" s="54" t="str">
        <f>IF(Table7[[#This Row],[Observed? Y or N]]="N", "-20", "0")</f>
        <v>-20</v>
      </c>
      <c r="U146" s="49">
        <f>Table7[[#This Row],[Total]]+Table7[[#This Row],[Penalty Applied]]</f>
        <v>13</v>
      </c>
      <c r="V146" s="54"/>
    </row>
    <row r="147" spans="4:24" x14ac:dyDescent="0.3">
      <c r="D147" s="90" t="s">
        <v>180</v>
      </c>
      <c r="E147" s="86"/>
      <c r="F147" s="86"/>
      <c r="G147" s="86"/>
      <c r="H147" s="86"/>
      <c r="I147" s="86"/>
      <c r="J147" s="86"/>
      <c r="K147" s="86">
        <v>13</v>
      </c>
      <c r="L147" s="86"/>
      <c r="M147" s="86"/>
      <c r="N147" s="86"/>
      <c r="O147" s="86"/>
      <c r="P147" s="87"/>
      <c r="Q147" s="90">
        <f>SUM(Table7[[#This Row],[1]:[12]])</f>
        <v>13</v>
      </c>
      <c r="R147" s="90">
        <f t="shared" si="5"/>
        <v>1</v>
      </c>
      <c r="S147" s="19" t="s">
        <v>102</v>
      </c>
      <c r="T147" s="78" t="str">
        <f>IF(Table7[[#This Row],[Observed? Y or N]]="N", "-20", "0")</f>
        <v>0</v>
      </c>
      <c r="U147" s="65">
        <f>Table7[[#This Row],[Total]]+Table7[[#This Row],[Penalty Applied]]</f>
        <v>13</v>
      </c>
      <c r="V147" s="78"/>
    </row>
    <row r="148" spans="4:24" x14ac:dyDescent="0.3">
      <c r="D148" s="90" t="s">
        <v>222</v>
      </c>
      <c r="E148" s="86"/>
      <c r="F148" s="86"/>
      <c r="G148" s="86"/>
      <c r="H148" s="86"/>
      <c r="I148" s="86"/>
      <c r="J148" s="86"/>
      <c r="K148" s="86"/>
      <c r="L148" s="86">
        <v>10</v>
      </c>
      <c r="M148" s="86"/>
      <c r="N148" s="86"/>
      <c r="O148" s="86"/>
      <c r="P148" s="87"/>
      <c r="Q148" s="90">
        <f>SUM(Table7[[#This Row],[1]:[12]])</f>
        <v>10</v>
      </c>
      <c r="R148" s="90">
        <f t="shared" si="5"/>
        <v>1</v>
      </c>
      <c r="S148" s="19" t="s">
        <v>102</v>
      </c>
      <c r="T148" s="78" t="str">
        <f>IF(Table7[[#This Row],[Observed? Y or N]]="N", "-20", "0")</f>
        <v>0</v>
      </c>
      <c r="U148" s="65">
        <f>Table7[[#This Row],[Total]]+Table7[[#This Row],[Penalty Applied]]</f>
        <v>10</v>
      </c>
      <c r="V148" s="78"/>
    </row>
    <row r="149" spans="4:24" x14ac:dyDescent="0.3">
      <c r="D149" s="91" t="s">
        <v>246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>
        <v>10</v>
      </c>
      <c r="O149" s="92"/>
      <c r="P149" s="91"/>
      <c r="Q149" s="94">
        <f>SUM(Table7[[#This Row],[1]:[12]])</f>
        <v>10</v>
      </c>
      <c r="R149" s="104">
        <f t="shared" si="5"/>
        <v>1</v>
      </c>
      <c r="S149" s="75" t="s">
        <v>102</v>
      </c>
      <c r="T149" s="63" t="str">
        <f>IF(Table7[[#This Row],[Observed? Y or N]]="N", "-20", "0")</f>
        <v>0</v>
      </c>
      <c r="U149" s="77">
        <f>Table7[[#This Row],[Total]]+Table7[[#This Row],[Penalty Applied]]</f>
        <v>10</v>
      </c>
      <c r="V149" s="78"/>
    </row>
    <row r="150" spans="4:24" x14ac:dyDescent="0.3">
      <c r="D150" s="91" t="s">
        <v>247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>
        <v>9</v>
      </c>
      <c r="O150" s="92"/>
      <c r="P150" s="91"/>
      <c r="Q150" s="94">
        <f>SUM(Table7[[#This Row],[1]:[12]])</f>
        <v>9</v>
      </c>
      <c r="R150" s="104">
        <f t="shared" si="5"/>
        <v>1</v>
      </c>
      <c r="S150" s="75" t="s">
        <v>102</v>
      </c>
      <c r="T150" s="63" t="str">
        <f>IF(Table7[[#This Row],[Observed? Y or N]]="N", "-20", "0")</f>
        <v>0</v>
      </c>
      <c r="U150" s="77">
        <f>Table7[[#This Row],[Total]]+Table7[[#This Row],[Penalty Applied]]</f>
        <v>9</v>
      </c>
      <c r="V150" s="78"/>
    </row>
    <row r="151" spans="4:24" x14ac:dyDescent="0.3">
      <c r="D151" s="91" t="s">
        <v>115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>
        <v>9</v>
      </c>
      <c r="P151" s="91"/>
      <c r="Q151" s="94">
        <f>SUM(Table7[[#This Row],[1]:[12]])</f>
        <v>9</v>
      </c>
      <c r="R151" s="104">
        <f t="shared" si="5"/>
        <v>1</v>
      </c>
      <c r="S151" s="75" t="s">
        <v>102</v>
      </c>
      <c r="T151" s="63" t="str">
        <f>IF(Table7[[#This Row],[Observed? Y or N]]="N", "-20", "0")</f>
        <v>0</v>
      </c>
      <c r="U151" s="77">
        <f>Table7[[#This Row],[Total]]+Table7[[#This Row],[Penalty Applied]]</f>
        <v>9</v>
      </c>
      <c r="V151" s="78"/>
    </row>
    <row r="152" spans="4:24" x14ac:dyDescent="0.3">
      <c r="D152" s="50" t="s">
        <v>71</v>
      </c>
      <c r="E152" s="51"/>
      <c r="F152" s="51">
        <v>9</v>
      </c>
      <c r="G152" s="51"/>
      <c r="H152" s="51"/>
      <c r="I152" s="51">
        <v>13</v>
      </c>
      <c r="J152" s="51"/>
      <c r="K152" s="51"/>
      <c r="L152" s="51"/>
      <c r="M152" s="51"/>
      <c r="N152" s="51"/>
      <c r="O152" s="51"/>
      <c r="P152" s="50"/>
      <c r="Q152" s="52">
        <f>SUM(Table7[[#This Row],[1]:[12]])</f>
        <v>22</v>
      </c>
      <c r="R152" s="52">
        <f t="shared" si="5"/>
        <v>2</v>
      </c>
      <c r="S152" s="19" t="s">
        <v>101</v>
      </c>
      <c r="T152" s="54" t="str">
        <f>IF(Table7[[#This Row],[Observed? Y or N]]="N", "-20", "0")</f>
        <v>-20</v>
      </c>
      <c r="U152" s="49">
        <f>Table7[[#This Row],[Total]]+Table7[[#This Row],[Penalty Applied]]</f>
        <v>2</v>
      </c>
      <c r="V152" s="54"/>
    </row>
    <row r="153" spans="4:24" ht="15" x14ac:dyDescent="0.3">
      <c r="D153" s="87" t="s">
        <v>89</v>
      </c>
      <c r="E153" s="97"/>
      <c r="F153" s="97">
        <v>2</v>
      </c>
      <c r="G153" s="97"/>
      <c r="H153" s="97"/>
      <c r="I153" s="97"/>
      <c r="J153" s="97"/>
      <c r="K153" s="97"/>
      <c r="L153" s="97"/>
      <c r="M153" s="97"/>
      <c r="N153" s="97"/>
      <c r="O153" s="97"/>
      <c r="P153" s="87"/>
      <c r="Q153" s="90">
        <f>SUM(Table7[[#This Row],[1]:[12]])</f>
        <v>2</v>
      </c>
      <c r="R153" s="90">
        <f t="shared" si="5"/>
        <v>1</v>
      </c>
      <c r="S153" s="19" t="s">
        <v>102</v>
      </c>
      <c r="T153" s="78" t="str">
        <f>IF(Table7[[#This Row],[Observed? Y or N]]="N", "-20", "0")</f>
        <v>0</v>
      </c>
      <c r="U153" s="65">
        <f>Table7[[#This Row],[Total]]+Table7[[#This Row],[Penalty Applied]]</f>
        <v>2</v>
      </c>
      <c r="V153" s="78"/>
      <c r="X153" s="44"/>
    </row>
    <row r="154" spans="4:24" ht="15" x14ac:dyDescent="0.3">
      <c r="D154" s="80" t="s">
        <v>134</v>
      </c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>
        <v>20</v>
      </c>
      <c r="P154" s="72"/>
      <c r="Q154" s="71">
        <f>SUM(Table7[[#This Row],[1]:[12]])</f>
        <v>20</v>
      </c>
      <c r="R154" s="80">
        <f t="shared" si="5"/>
        <v>1</v>
      </c>
      <c r="S154" s="75" t="s">
        <v>101</v>
      </c>
      <c r="T154" s="76" t="str">
        <f>IF(Table7[[#This Row],[Observed? Y or N]]="N", "-20", "0")</f>
        <v>-20</v>
      </c>
      <c r="U154" s="105">
        <f>Table7[[#This Row],[Total]]+Table7[[#This Row],[Penalty Applied]]</f>
        <v>0</v>
      </c>
      <c r="V154" s="54"/>
      <c r="X154" s="44"/>
    </row>
    <row r="155" spans="4:24" ht="15" x14ac:dyDescent="0.3">
      <c r="D155" s="50" t="s">
        <v>189</v>
      </c>
      <c r="E155" s="51">
        <v>20</v>
      </c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0"/>
      <c r="Q155" s="52">
        <f>SUM(Table7[[#This Row],[1]:[12]])</f>
        <v>20</v>
      </c>
      <c r="R155" s="52">
        <f t="shared" si="5"/>
        <v>1</v>
      </c>
      <c r="S155" s="19" t="s">
        <v>101</v>
      </c>
      <c r="T155" s="54" t="str">
        <f>IF(Table7[[#This Row],[Observed? Y or N]]="N", "-20", "0")</f>
        <v>-20</v>
      </c>
      <c r="U155" s="49">
        <f>Table7[[#This Row],[Total]]+Table7[[#This Row],[Penalty Applied]]</f>
        <v>0</v>
      </c>
      <c r="V155" s="54"/>
      <c r="X155" s="45"/>
    </row>
    <row r="156" spans="4:24" ht="15" x14ac:dyDescent="0.3">
      <c r="D156" s="50" t="s">
        <v>86</v>
      </c>
      <c r="E156" s="51"/>
      <c r="F156" s="51"/>
      <c r="G156" s="51"/>
      <c r="H156" s="51"/>
      <c r="I156" s="51"/>
      <c r="J156" s="51"/>
      <c r="K156" s="51"/>
      <c r="L156" s="51">
        <v>20</v>
      </c>
      <c r="M156" s="51"/>
      <c r="N156" s="51"/>
      <c r="O156" s="51"/>
      <c r="P156" s="50"/>
      <c r="Q156" s="52">
        <f>SUM(Table7[[#This Row],[1]:[12]])</f>
        <v>20</v>
      </c>
      <c r="R156" s="52">
        <f t="shared" si="5"/>
        <v>1</v>
      </c>
      <c r="S156" s="19" t="s">
        <v>101</v>
      </c>
      <c r="T156" s="54" t="str">
        <f>IF(Table7[[#This Row],[Observed? Y or N]]="N", "-20", "0")</f>
        <v>-20</v>
      </c>
      <c r="U156" s="49">
        <f>Table7[[#This Row],[Total]]+Table7[[#This Row],[Penalty Applied]]</f>
        <v>0</v>
      </c>
      <c r="V156" s="54"/>
      <c r="X156" s="44"/>
    </row>
    <row r="157" spans="4:24" x14ac:dyDescent="0.3">
      <c r="D157" s="72" t="s">
        <v>218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>
        <v>20</v>
      </c>
      <c r="O157" s="51"/>
      <c r="P157" s="50"/>
      <c r="Q157" s="52">
        <f>SUM(Table7[[#This Row],[1]:[12]])</f>
        <v>20</v>
      </c>
      <c r="R157" s="52">
        <f t="shared" si="5"/>
        <v>1</v>
      </c>
      <c r="S157" s="19" t="s">
        <v>101</v>
      </c>
      <c r="T157" s="54" t="str">
        <f>IF(Table7[[#This Row],[Observed? Y or N]]="N", "-20", "0")</f>
        <v>-20</v>
      </c>
      <c r="U157" s="49">
        <f>Table7[[#This Row],[Total]]+Table7[[#This Row],[Penalty Applied]]</f>
        <v>0</v>
      </c>
      <c r="V157" s="54"/>
    </row>
    <row r="158" spans="4:24" x14ac:dyDescent="0.3">
      <c r="D158" s="50" t="s">
        <v>72</v>
      </c>
      <c r="E158" s="51">
        <v>9</v>
      </c>
      <c r="F158" s="51">
        <v>10</v>
      </c>
      <c r="G158" s="51"/>
      <c r="H158" s="51"/>
      <c r="I158" s="51"/>
      <c r="J158" s="51"/>
      <c r="K158" s="51"/>
      <c r="L158" s="51"/>
      <c r="M158" s="51"/>
      <c r="N158" s="51"/>
      <c r="O158" s="51"/>
      <c r="P158" s="50"/>
      <c r="Q158" s="52">
        <f>SUM(Table7[[#This Row],[1]:[12]])</f>
        <v>19</v>
      </c>
      <c r="R158" s="52">
        <f t="shared" si="5"/>
        <v>2</v>
      </c>
      <c r="S158" s="19" t="s">
        <v>101</v>
      </c>
      <c r="T158" s="54" t="str">
        <f>IF(Table7[[#This Row],[Observed? Y or N]]="N", "-20", "0")</f>
        <v>-20</v>
      </c>
      <c r="U158" s="49">
        <f>Table7[[#This Row],[Total]]+Table7[[#This Row],[Penalty Applied]]</f>
        <v>-1</v>
      </c>
      <c r="V158" s="54"/>
    </row>
    <row r="159" spans="4:24" x14ac:dyDescent="0.3">
      <c r="D159" s="72" t="s">
        <v>178</v>
      </c>
      <c r="E159" s="73"/>
      <c r="F159" s="73"/>
      <c r="G159" s="73"/>
      <c r="H159" s="73"/>
      <c r="I159" s="73"/>
      <c r="J159" s="73"/>
      <c r="K159" s="51">
        <v>17</v>
      </c>
      <c r="L159" s="51"/>
      <c r="M159" s="51"/>
      <c r="N159" s="51"/>
      <c r="O159" s="51"/>
      <c r="P159" s="50"/>
      <c r="Q159" s="52">
        <f>SUM(Table7[[#This Row],[1]:[12]])</f>
        <v>17</v>
      </c>
      <c r="R159" s="52">
        <f t="shared" si="5"/>
        <v>1</v>
      </c>
      <c r="S159" s="19" t="s">
        <v>101</v>
      </c>
      <c r="T159" s="54" t="str">
        <f>IF(Table7[[#This Row],[Observed? Y or N]]="N", "-20", "0")</f>
        <v>-20</v>
      </c>
      <c r="U159" s="49">
        <f>Table7[[#This Row],[Total]]+Table7[[#This Row],[Penalty Applied]]</f>
        <v>-3</v>
      </c>
      <c r="V159" s="54"/>
    </row>
    <row r="160" spans="4:24" x14ac:dyDescent="0.3">
      <c r="D160" s="52" t="s">
        <v>110</v>
      </c>
      <c r="E160" s="51">
        <v>17</v>
      </c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0"/>
      <c r="Q160" s="52">
        <f>SUM(Table7[[#This Row],[1]:[12]])</f>
        <v>17</v>
      </c>
      <c r="R160" s="52">
        <f t="shared" si="5"/>
        <v>1</v>
      </c>
      <c r="S160" s="19" t="s">
        <v>101</v>
      </c>
      <c r="T160" s="54" t="str">
        <f>IF(Table7[[#This Row],[Observed? Y or N]]="N", "-20", "0")</f>
        <v>-20</v>
      </c>
      <c r="U160" s="49">
        <f>Table7[[#This Row],[Total]]+Table7[[#This Row],[Penalty Applied]]</f>
        <v>-3</v>
      </c>
      <c r="V160" s="54"/>
    </row>
    <row r="161" spans="4:22" x14ac:dyDescent="0.3">
      <c r="D161" s="52" t="s">
        <v>203</v>
      </c>
      <c r="E161" s="51"/>
      <c r="F161" s="51">
        <v>17</v>
      </c>
      <c r="G161" s="51"/>
      <c r="H161" s="51"/>
      <c r="I161" s="51"/>
      <c r="J161" s="51"/>
      <c r="K161" s="51"/>
      <c r="L161" s="51"/>
      <c r="M161" s="51"/>
      <c r="N161" s="51"/>
      <c r="O161" s="51"/>
      <c r="P161" s="50"/>
      <c r="Q161" s="52">
        <f>SUM(Table7[[#This Row],[1]:[12]])</f>
        <v>17</v>
      </c>
      <c r="R161" s="52">
        <f t="shared" si="5"/>
        <v>1</v>
      </c>
      <c r="S161" s="19" t="s">
        <v>101</v>
      </c>
      <c r="T161" s="54" t="str">
        <f>IF(Table7[[#This Row],[Observed? Y or N]]="N", "-20", "0")</f>
        <v>-20</v>
      </c>
      <c r="U161" s="49">
        <f>Table7[[#This Row],[Total]]+Table7[[#This Row],[Penalty Applied]]</f>
        <v>-3</v>
      </c>
      <c r="V161" s="54"/>
    </row>
    <row r="162" spans="4:22" x14ac:dyDescent="0.3">
      <c r="D162" s="52" t="s">
        <v>112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>
        <v>17</v>
      </c>
      <c r="O162" s="51"/>
      <c r="P162" s="50"/>
      <c r="Q162" s="52">
        <f>SUM(Table7[[#This Row],[1]:[12]])</f>
        <v>17</v>
      </c>
      <c r="R162" s="52">
        <f t="shared" si="5"/>
        <v>1</v>
      </c>
      <c r="S162" s="19" t="s">
        <v>101</v>
      </c>
      <c r="T162" s="54" t="str">
        <f>IF(Table7[[#This Row],[Observed? Y or N]]="N", "-20", "0")</f>
        <v>-20</v>
      </c>
      <c r="U162" s="49">
        <f>Table7[[#This Row],[Total]]+Table7[[#This Row],[Penalty Applied]]</f>
        <v>-3</v>
      </c>
      <c r="V162" s="54"/>
    </row>
    <row r="163" spans="4:22" x14ac:dyDescent="0.3">
      <c r="D163" s="72" t="s">
        <v>254</v>
      </c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>
        <v>15</v>
      </c>
      <c r="P163" s="72"/>
      <c r="Q163" s="71">
        <f>SUM(Table7[[#This Row],[1]:[12]])</f>
        <v>15</v>
      </c>
      <c r="R163" s="80">
        <f t="shared" si="5"/>
        <v>1</v>
      </c>
      <c r="S163" s="75" t="s">
        <v>101</v>
      </c>
      <c r="T163" s="76" t="str">
        <f>IF(Table7[[#This Row],[Observed? Y or N]]="N", "-20", "0")</f>
        <v>-20</v>
      </c>
      <c r="U163" s="105">
        <f>Table7[[#This Row],[Total]]+Table7[[#This Row],[Penalty Applied]]</f>
        <v>-5</v>
      </c>
      <c r="V163" s="54"/>
    </row>
    <row r="164" spans="4:22" x14ac:dyDescent="0.3">
      <c r="D164" s="52" t="s">
        <v>176</v>
      </c>
      <c r="E164" s="51"/>
      <c r="F164" s="51"/>
      <c r="G164" s="51"/>
      <c r="H164" s="51"/>
      <c r="I164" s="51"/>
      <c r="J164" s="51">
        <v>15</v>
      </c>
      <c r="K164" s="51"/>
      <c r="L164" s="51"/>
      <c r="M164" s="51"/>
      <c r="N164" s="51"/>
      <c r="O164" s="51"/>
      <c r="P164" s="50"/>
      <c r="Q164" s="52">
        <f>SUM(Table7[[#This Row],[1]:[12]])</f>
        <v>15</v>
      </c>
      <c r="R164" s="52">
        <f>COUNTIF(K164:P164,"&gt;1")</f>
        <v>0</v>
      </c>
      <c r="S164" s="19" t="s">
        <v>101</v>
      </c>
      <c r="T164" s="54" t="str">
        <f>IF(Table7[[#This Row],[Observed? Y or N]]="N", "-20", "0")</f>
        <v>-20</v>
      </c>
      <c r="U164" s="49">
        <f>Table7[[#This Row],[Total]]+Table7[[#This Row],[Penalty Applied]]</f>
        <v>-5</v>
      </c>
      <c r="V164" s="54"/>
    </row>
    <row r="165" spans="4:22" x14ac:dyDescent="0.3">
      <c r="D165" s="50" t="s">
        <v>190</v>
      </c>
      <c r="E165" s="51">
        <v>15</v>
      </c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0"/>
      <c r="Q165" s="52">
        <f>SUM(Table7[[#This Row],[1]:[12]])</f>
        <v>15</v>
      </c>
      <c r="R165" s="52">
        <f t="shared" ref="R165:R186" si="6">COUNTIF(E165:P165,"&gt;1")</f>
        <v>1</v>
      </c>
      <c r="S165" s="19" t="s">
        <v>101</v>
      </c>
      <c r="T165" s="54" t="str">
        <f>IF(Table7[[#This Row],[Observed? Y or N]]="N", "-20", "0")</f>
        <v>-20</v>
      </c>
      <c r="U165" s="49">
        <f>Table7[[#This Row],[Total]]+Table7[[#This Row],[Penalty Applied]]</f>
        <v>-5</v>
      </c>
      <c r="V165" s="54"/>
    </row>
    <row r="166" spans="4:22" x14ac:dyDescent="0.3">
      <c r="D166" s="80" t="s">
        <v>275</v>
      </c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2">
        <v>15</v>
      </c>
      <c r="Q166" s="71">
        <f>SUM(Table7[[#This Row],[1]:[12]])</f>
        <v>15</v>
      </c>
      <c r="R166" s="80">
        <f t="shared" si="6"/>
        <v>1</v>
      </c>
      <c r="S166" s="75" t="s">
        <v>101</v>
      </c>
      <c r="T166" s="76" t="str">
        <f>IF(Table7[[#This Row],[Observed? Y or N]]="N", "-20", "0")</f>
        <v>-20</v>
      </c>
      <c r="U166" s="105">
        <f>Table7[[#This Row],[Total]]+Table7[[#This Row],[Penalty Applied]]</f>
        <v>-5</v>
      </c>
      <c r="V166" s="54"/>
    </row>
    <row r="167" spans="4:22" x14ac:dyDescent="0.3">
      <c r="D167" s="52" t="s">
        <v>191</v>
      </c>
      <c r="E167" s="51">
        <v>13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0"/>
      <c r="Q167" s="52">
        <f>SUM(Table7[[#This Row],[1]:[12]])</f>
        <v>13</v>
      </c>
      <c r="R167" s="52">
        <f t="shared" si="6"/>
        <v>1</v>
      </c>
      <c r="S167" s="19" t="s">
        <v>101</v>
      </c>
      <c r="T167" s="54" t="str">
        <f>IF(Table7[[#This Row],[Observed? Y or N]]="N", "-20", "0")</f>
        <v>-20</v>
      </c>
      <c r="U167" s="49">
        <f>Table7[[#This Row],[Total]]+Table7[[#This Row],[Penalty Applied]]</f>
        <v>-7</v>
      </c>
      <c r="V167" s="54"/>
    </row>
    <row r="168" spans="4:22" x14ac:dyDescent="0.3">
      <c r="D168" s="50" t="s">
        <v>132</v>
      </c>
      <c r="E168" s="51"/>
      <c r="F168" s="51">
        <v>13</v>
      </c>
      <c r="G168" s="51"/>
      <c r="H168" s="51"/>
      <c r="I168" s="51"/>
      <c r="J168" s="51"/>
      <c r="K168" s="51"/>
      <c r="L168" s="51"/>
      <c r="M168" s="51"/>
      <c r="N168" s="51"/>
      <c r="O168" s="51"/>
      <c r="P168" s="50"/>
      <c r="Q168" s="52">
        <f>SUM(Table7[[#This Row],[1]:[12]])</f>
        <v>13</v>
      </c>
      <c r="R168" s="52">
        <f t="shared" si="6"/>
        <v>1</v>
      </c>
      <c r="S168" s="19" t="s">
        <v>101</v>
      </c>
      <c r="T168" s="54" t="str">
        <f>IF(Table7[[#This Row],[Observed? Y or N]]="N", "-20", "0")</f>
        <v>-20</v>
      </c>
      <c r="U168" s="49">
        <f>Table7[[#This Row],[Total]]+Table7[[#This Row],[Penalty Applied]]</f>
        <v>-7</v>
      </c>
      <c r="V168" s="54"/>
    </row>
    <row r="169" spans="4:22" x14ac:dyDescent="0.3">
      <c r="D169" s="72" t="s">
        <v>248</v>
      </c>
      <c r="E169" s="73"/>
      <c r="F169" s="73"/>
      <c r="G169" s="73"/>
      <c r="H169" s="73"/>
      <c r="I169" s="73"/>
      <c r="J169" s="73"/>
      <c r="K169" s="73"/>
      <c r="L169" s="73"/>
      <c r="M169" s="73"/>
      <c r="N169" s="73">
        <v>8</v>
      </c>
      <c r="O169" s="73">
        <v>5</v>
      </c>
      <c r="P169" s="72"/>
      <c r="Q169" s="71">
        <f>SUM(Table7[[#This Row],[1]:[12]])</f>
        <v>13</v>
      </c>
      <c r="R169" s="80">
        <f t="shared" si="6"/>
        <v>2</v>
      </c>
      <c r="S169" s="75" t="s">
        <v>101</v>
      </c>
      <c r="T169" s="76" t="str">
        <f>IF(Table7[[#This Row],[Observed? Y or N]]="N", "-20", "0")</f>
        <v>-20</v>
      </c>
      <c r="U169" s="105">
        <f>Table7[[#This Row],[Total]]+Table7[[#This Row],[Penalty Applied]]</f>
        <v>-7</v>
      </c>
      <c r="V169" s="54"/>
    </row>
    <row r="170" spans="4:22" x14ac:dyDescent="0.3">
      <c r="D170" s="52" t="s">
        <v>153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>
        <v>13</v>
      </c>
      <c r="O170" s="81"/>
      <c r="P170" s="50"/>
      <c r="Q170" s="52">
        <f>SUM(Table7[[#This Row],[1]:[12]])</f>
        <v>13</v>
      </c>
      <c r="R170" s="52">
        <f t="shared" si="6"/>
        <v>1</v>
      </c>
      <c r="S170" s="19" t="s">
        <v>101</v>
      </c>
      <c r="T170" s="54" t="str">
        <f>IF(Table7[[#This Row],[Observed? Y or N]]="N", "-20", "0")</f>
        <v>-20</v>
      </c>
      <c r="U170" s="49">
        <f>Table7[[#This Row],[Total]]+Table7[[#This Row],[Penalty Applied]]</f>
        <v>-7</v>
      </c>
      <c r="V170" s="54"/>
    </row>
    <row r="171" spans="4:22" x14ac:dyDescent="0.3">
      <c r="D171" s="52" t="s">
        <v>80</v>
      </c>
      <c r="E171" s="51"/>
      <c r="F171" s="51"/>
      <c r="G171" s="51"/>
      <c r="H171" s="51"/>
      <c r="I171" s="51"/>
      <c r="J171" s="51"/>
      <c r="K171" s="51">
        <v>11</v>
      </c>
      <c r="L171" s="51"/>
      <c r="M171" s="51"/>
      <c r="N171" s="51"/>
      <c r="O171" s="51"/>
      <c r="P171" s="50"/>
      <c r="Q171" s="52">
        <f>SUM(Table7[[#This Row],[1]:[12]])</f>
        <v>11</v>
      </c>
      <c r="R171" s="52">
        <f t="shared" si="6"/>
        <v>1</v>
      </c>
      <c r="S171" s="19" t="s">
        <v>101</v>
      </c>
      <c r="T171" s="54" t="str">
        <f>IF(Table7[[#This Row],[Observed? Y or N]]="N", "-20", "0")</f>
        <v>-20</v>
      </c>
      <c r="U171" s="49">
        <f>Table7[[#This Row],[Total]]+Table7[[#This Row],[Penalty Applied]]</f>
        <v>-9</v>
      </c>
      <c r="V171" s="54"/>
    </row>
    <row r="172" spans="4:22" x14ac:dyDescent="0.3">
      <c r="D172" s="50" t="s">
        <v>192</v>
      </c>
      <c r="E172" s="51">
        <v>11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0"/>
      <c r="Q172" s="52">
        <f>SUM(Table7[[#This Row],[1]:[12]])</f>
        <v>11</v>
      </c>
      <c r="R172" s="52">
        <f t="shared" si="6"/>
        <v>1</v>
      </c>
      <c r="S172" s="19" t="s">
        <v>101</v>
      </c>
      <c r="T172" s="54" t="str">
        <f>IF(Table7[[#This Row],[Observed? Y or N]]="N", "-20", "0")</f>
        <v>-20</v>
      </c>
      <c r="U172" s="49">
        <f>Table7[[#This Row],[Total]]+Table7[[#This Row],[Penalty Applied]]</f>
        <v>-9</v>
      </c>
      <c r="V172" s="54"/>
    </row>
    <row r="173" spans="4:22" x14ac:dyDescent="0.3">
      <c r="D173" s="50" t="s">
        <v>183</v>
      </c>
      <c r="E173" s="51"/>
      <c r="F173" s="51"/>
      <c r="G173" s="51"/>
      <c r="H173" s="51"/>
      <c r="I173" s="51"/>
      <c r="J173" s="51"/>
      <c r="K173" s="51"/>
      <c r="L173" s="51">
        <v>11</v>
      </c>
      <c r="M173" s="51"/>
      <c r="N173" s="51"/>
      <c r="O173" s="51"/>
      <c r="P173" s="50"/>
      <c r="Q173" s="52">
        <f>SUM(Table7[[#This Row],[1]:[12]])</f>
        <v>11</v>
      </c>
      <c r="R173" s="52">
        <f t="shared" si="6"/>
        <v>1</v>
      </c>
      <c r="S173" s="19" t="s">
        <v>101</v>
      </c>
      <c r="T173" s="54" t="str">
        <f>IF(Table7[[#This Row],[Observed? Y or N]]="N", "-20", "0")</f>
        <v>-20</v>
      </c>
      <c r="U173" s="49">
        <f>Table7[[#This Row],[Total]]+Table7[[#This Row],[Penalty Applied]]</f>
        <v>-9</v>
      </c>
      <c r="V173" s="54"/>
    </row>
    <row r="174" spans="4:22" x14ac:dyDescent="0.3">
      <c r="D174" s="52" t="s">
        <v>155</v>
      </c>
      <c r="E174" s="51"/>
      <c r="F174" s="51"/>
      <c r="G174" s="51"/>
      <c r="H174" s="51"/>
      <c r="I174" s="51"/>
      <c r="J174" s="51"/>
      <c r="K174" s="51">
        <v>10</v>
      </c>
      <c r="L174" s="51"/>
      <c r="M174" s="51"/>
      <c r="N174" s="51"/>
      <c r="O174" s="51"/>
      <c r="P174" s="50"/>
      <c r="Q174" s="52">
        <f>SUM(Table7[[#This Row],[1]:[12]])</f>
        <v>10</v>
      </c>
      <c r="R174" s="52">
        <f t="shared" si="6"/>
        <v>1</v>
      </c>
      <c r="S174" s="19" t="s">
        <v>101</v>
      </c>
      <c r="T174" s="54" t="str">
        <f>IF(Table7[[#This Row],[Observed? Y or N]]="N", "-20", "0")</f>
        <v>-20</v>
      </c>
      <c r="U174" s="49">
        <f>Table7[[#This Row],[Total]]+Table7[[#This Row],[Penalty Applied]]</f>
        <v>-10</v>
      </c>
      <c r="V174" s="54"/>
    </row>
    <row r="175" spans="4:22" x14ac:dyDescent="0.3">
      <c r="D175" s="52" t="s">
        <v>193</v>
      </c>
      <c r="E175" s="51">
        <v>10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0"/>
      <c r="Q175" s="52">
        <f>SUM(Table7[[#This Row],[1]:[12]])</f>
        <v>10</v>
      </c>
      <c r="R175" s="52">
        <f t="shared" si="6"/>
        <v>1</v>
      </c>
      <c r="S175" s="19" t="s">
        <v>101</v>
      </c>
      <c r="T175" s="54" t="str">
        <f>IF(Table7[[#This Row],[Observed? Y or N]]="N", "-20", "0")</f>
        <v>-20</v>
      </c>
      <c r="U175" s="49">
        <f>Table7[[#This Row],[Total]]+Table7[[#This Row],[Penalty Applied]]</f>
        <v>-10</v>
      </c>
      <c r="V175" s="54"/>
    </row>
    <row r="176" spans="4:22" x14ac:dyDescent="0.3">
      <c r="D176" s="72" t="s">
        <v>255</v>
      </c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>
        <v>10</v>
      </c>
      <c r="P176" s="72"/>
      <c r="Q176" s="71">
        <f>SUM(Table7[[#This Row],[1]:[12]])</f>
        <v>10</v>
      </c>
      <c r="R176" s="80">
        <f t="shared" si="6"/>
        <v>1</v>
      </c>
      <c r="S176" s="75" t="s">
        <v>101</v>
      </c>
      <c r="T176" s="76" t="str">
        <f>IF(Table7[[#This Row],[Observed? Y or N]]="N", "-20", "0")</f>
        <v>-20</v>
      </c>
      <c r="U176" s="105">
        <f>Table7[[#This Row],[Total]]+Table7[[#This Row],[Penalty Applied]]</f>
        <v>-10</v>
      </c>
      <c r="V176" s="54"/>
    </row>
    <row r="177" spans="4:22" x14ac:dyDescent="0.3">
      <c r="D177" s="50" t="s">
        <v>237</v>
      </c>
      <c r="E177" s="51"/>
      <c r="F177" s="51"/>
      <c r="G177" s="51"/>
      <c r="H177" s="51"/>
      <c r="I177" s="51"/>
      <c r="J177" s="51"/>
      <c r="K177" s="51"/>
      <c r="L177" s="51"/>
      <c r="M177" s="51">
        <v>9</v>
      </c>
      <c r="N177" s="51"/>
      <c r="O177" s="51"/>
      <c r="P177" s="50"/>
      <c r="Q177" s="52">
        <f>SUM(Table7[[#This Row],[1]:[12]])</f>
        <v>9</v>
      </c>
      <c r="R177" s="52">
        <f t="shared" si="6"/>
        <v>1</v>
      </c>
      <c r="S177" s="19" t="s">
        <v>101</v>
      </c>
      <c r="T177" s="54" t="str">
        <f>IF(Table7[[#This Row],[Observed? Y or N]]="N", "-20", "0")</f>
        <v>-20</v>
      </c>
      <c r="U177" s="49">
        <f>Table7[[#This Row],[Total]]+Table7[[#This Row],[Penalty Applied]]</f>
        <v>-11</v>
      </c>
      <c r="V177" s="54"/>
    </row>
    <row r="178" spans="4:22" x14ac:dyDescent="0.3">
      <c r="D178" s="72" t="s">
        <v>256</v>
      </c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>
        <v>8</v>
      </c>
      <c r="P178" s="72"/>
      <c r="Q178" s="71">
        <f>SUM(Table7[[#This Row],[1]:[12]])</f>
        <v>8</v>
      </c>
      <c r="R178" s="80">
        <f t="shared" si="6"/>
        <v>1</v>
      </c>
      <c r="S178" s="75" t="s">
        <v>101</v>
      </c>
      <c r="T178" s="76" t="str">
        <f>IF(Table7[[#This Row],[Observed? Y or N]]="N", "-20", "0")</f>
        <v>-20</v>
      </c>
      <c r="U178" s="105">
        <f>Table7[[#This Row],[Total]]+Table7[[#This Row],[Penalty Applied]]</f>
        <v>-12</v>
      </c>
      <c r="V178" s="54"/>
    </row>
    <row r="179" spans="4:22" x14ac:dyDescent="0.3">
      <c r="D179" s="50" t="s">
        <v>194</v>
      </c>
      <c r="E179" s="51">
        <v>8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0"/>
      <c r="Q179" s="52">
        <f>SUM(Table7[[#This Row],[1]:[12]])</f>
        <v>8</v>
      </c>
      <c r="R179" s="52">
        <f t="shared" si="6"/>
        <v>1</v>
      </c>
      <c r="S179" s="19" t="s">
        <v>101</v>
      </c>
      <c r="T179" s="54" t="str">
        <f>IF(Table7[[#This Row],[Observed? Y or N]]="N", "-20", "0")</f>
        <v>-20</v>
      </c>
      <c r="U179" s="49">
        <f>Table7[[#This Row],[Total]]+Table7[[#This Row],[Penalty Applied]]</f>
        <v>-12</v>
      </c>
      <c r="V179" s="54"/>
    </row>
    <row r="180" spans="4:22" x14ac:dyDescent="0.3">
      <c r="D180" s="50" t="s">
        <v>204</v>
      </c>
      <c r="E180" s="51"/>
      <c r="F180" s="51">
        <v>8</v>
      </c>
      <c r="G180" s="51"/>
      <c r="H180" s="51"/>
      <c r="I180" s="51"/>
      <c r="J180" s="51"/>
      <c r="K180" s="51"/>
      <c r="L180" s="51"/>
      <c r="M180" s="51"/>
      <c r="N180" s="51"/>
      <c r="O180" s="51"/>
      <c r="P180" s="50"/>
      <c r="Q180" s="52">
        <f>SUM(Table7[[#This Row],[1]:[12]])</f>
        <v>8</v>
      </c>
      <c r="R180" s="52">
        <f t="shared" si="6"/>
        <v>1</v>
      </c>
      <c r="S180" s="19" t="s">
        <v>101</v>
      </c>
      <c r="T180" s="54" t="str">
        <f>IF(Table7[[#This Row],[Observed? Y or N]]="N", "-20", "0")</f>
        <v>-20</v>
      </c>
      <c r="U180" s="49">
        <f>Table7[[#This Row],[Total]]+Table7[[#This Row],[Penalty Applied]]</f>
        <v>-12</v>
      </c>
      <c r="V180" s="54"/>
    </row>
    <row r="181" spans="4:22" x14ac:dyDescent="0.3">
      <c r="D181" s="50" t="s">
        <v>223</v>
      </c>
      <c r="E181" s="51"/>
      <c r="F181" s="51"/>
      <c r="G181" s="51"/>
      <c r="H181" s="51"/>
      <c r="I181" s="51"/>
      <c r="J181" s="51"/>
      <c r="K181" s="51"/>
      <c r="L181" s="51">
        <v>8</v>
      </c>
      <c r="M181" s="51"/>
      <c r="N181" s="51"/>
      <c r="O181" s="51"/>
      <c r="P181" s="50"/>
      <c r="Q181" s="52">
        <f>SUM(Table7[[#This Row],[1]:[12]])</f>
        <v>8</v>
      </c>
      <c r="R181" s="52">
        <f t="shared" si="6"/>
        <v>1</v>
      </c>
      <c r="S181" s="19" t="s">
        <v>101</v>
      </c>
      <c r="T181" s="54" t="str">
        <f>IF(Table7[[#This Row],[Observed? Y or N]]="N", "-20", "0")</f>
        <v>-20</v>
      </c>
      <c r="U181" s="49">
        <f>Table7[[#This Row],[Total]]+Table7[[#This Row],[Penalty Applied]]</f>
        <v>-12</v>
      </c>
      <c r="V181" s="54"/>
    </row>
    <row r="182" spans="4:22" x14ac:dyDescent="0.3">
      <c r="D182" s="80" t="s">
        <v>168</v>
      </c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>
        <v>7</v>
      </c>
      <c r="P182" s="72"/>
      <c r="Q182" s="71">
        <f>SUM(Table7[[#This Row],[1]:[12]])</f>
        <v>7</v>
      </c>
      <c r="R182" s="80">
        <f t="shared" si="6"/>
        <v>1</v>
      </c>
      <c r="S182" s="75" t="s">
        <v>101</v>
      </c>
      <c r="T182" s="76" t="str">
        <f>IF(Table7[[#This Row],[Observed? Y or N]]="N", "-20", "0")</f>
        <v>-20</v>
      </c>
      <c r="U182" s="105">
        <f>Table7[[#This Row],[Total]]+Table7[[#This Row],[Penalty Applied]]</f>
        <v>-13</v>
      </c>
      <c r="V182" s="54"/>
    </row>
    <row r="183" spans="4:22" x14ac:dyDescent="0.3">
      <c r="D183" s="50" t="s">
        <v>69</v>
      </c>
      <c r="E183" s="51">
        <v>6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0"/>
      <c r="Q183" s="52">
        <f>SUM(Table7[[#This Row],[1]:[12]])</f>
        <v>6</v>
      </c>
      <c r="R183" s="52">
        <f t="shared" si="6"/>
        <v>1</v>
      </c>
      <c r="S183" s="19" t="s">
        <v>101</v>
      </c>
      <c r="T183" s="54" t="str">
        <f>IF(Table7[[#This Row],[Observed? Y or N]]="N", "-20", "0")</f>
        <v>-20</v>
      </c>
      <c r="U183" s="49">
        <f>Table7[[#This Row],[Total]]+Table7[[#This Row],[Penalty Applied]]</f>
        <v>-14</v>
      </c>
      <c r="V183" s="54"/>
    </row>
    <row r="184" spans="4:22" x14ac:dyDescent="0.3">
      <c r="D184" s="50" t="s">
        <v>88</v>
      </c>
      <c r="E184" s="51"/>
      <c r="F184" s="51">
        <v>5</v>
      </c>
      <c r="G184" s="51"/>
      <c r="H184" s="51"/>
      <c r="I184" s="51"/>
      <c r="J184" s="51"/>
      <c r="K184" s="51"/>
      <c r="L184" s="51"/>
      <c r="M184" s="51"/>
      <c r="N184" s="51"/>
      <c r="O184" s="51"/>
      <c r="P184" s="50"/>
      <c r="Q184" s="52">
        <f>SUM(Table7[[#This Row],[1]:[12]])</f>
        <v>5</v>
      </c>
      <c r="R184" s="52">
        <f t="shared" si="6"/>
        <v>1</v>
      </c>
      <c r="S184" s="19" t="s">
        <v>101</v>
      </c>
      <c r="T184" s="54" t="str">
        <f>IF(Table7[[#This Row],[Observed? Y or N]]="N", "-20", "0")</f>
        <v>-20</v>
      </c>
      <c r="U184" s="49">
        <f>Table7[[#This Row],[Total]]+Table7[[#This Row],[Penalty Applied]]</f>
        <v>-15</v>
      </c>
      <c r="V184" s="54"/>
    </row>
    <row r="185" spans="4:22" x14ac:dyDescent="0.3">
      <c r="D185" s="50" t="s">
        <v>87</v>
      </c>
      <c r="E185" s="51"/>
      <c r="F185" s="51">
        <v>4</v>
      </c>
      <c r="G185" s="51"/>
      <c r="H185" s="51"/>
      <c r="I185" s="51"/>
      <c r="J185" s="51"/>
      <c r="K185" s="51"/>
      <c r="L185" s="51"/>
      <c r="M185" s="51"/>
      <c r="N185" s="51"/>
      <c r="O185" s="51"/>
      <c r="P185" s="50"/>
      <c r="Q185" s="52">
        <f>SUM(Table7[[#This Row],[1]:[12]])</f>
        <v>4</v>
      </c>
      <c r="R185" s="52">
        <f t="shared" si="6"/>
        <v>1</v>
      </c>
      <c r="S185" s="19" t="s">
        <v>101</v>
      </c>
      <c r="T185" s="54" t="str">
        <f>IF(Table7[[#This Row],[Observed? Y or N]]="N", "-20", "0")</f>
        <v>-20</v>
      </c>
      <c r="U185" s="49">
        <f>Table7[[#This Row],[Total]]+Table7[[#This Row],[Penalty Applied]]</f>
        <v>-16</v>
      </c>
      <c r="V185" s="54"/>
    </row>
    <row r="186" spans="4:22" ht="15" thickBot="1" x14ac:dyDescent="0.35">
      <c r="D186" s="58" t="s">
        <v>136</v>
      </c>
      <c r="E186" s="59"/>
      <c r="F186" s="59">
        <v>3</v>
      </c>
      <c r="G186" s="59"/>
      <c r="H186" s="59"/>
      <c r="I186" s="59"/>
      <c r="J186" s="59"/>
      <c r="K186" s="59"/>
      <c r="L186" s="59"/>
      <c r="M186" s="59"/>
      <c r="N186" s="59"/>
      <c r="O186" s="59"/>
      <c r="P186" s="60"/>
      <c r="Q186" s="58">
        <f>SUM(Table7[[#This Row],[1]:[12]])</f>
        <v>3</v>
      </c>
      <c r="R186" s="52">
        <f t="shared" si="6"/>
        <v>1</v>
      </c>
      <c r="S186" s="19" t="s">
        <v>101</v>
      </c>
      <c r="T186" s="56" t="str">
        <f>IF(Table7[[#This Row],[Observed? Y or N]]="N", "-20", "0")</f>
        <v>-20</v>
      </c>
      <c r="U186" s="49">
        <f>Table7[[#This Row],[Total]]+Table7[[#This Row],[Penalty Applied]]</f>
        <v>-17</v>
      </c>
      <c r="V186" s="56"/>
    </row>
    <row r="188" spans="4:22" ht="15" thickBot="1" x14ac:dyDescent="0.35"/>
    <row r="189" spans="4:22" ht="153" thickBot="1" x14ac:dyDescent="0.35">
      <c r="D189" s="47" t="s">
        <v>40</v>
      </c>
      <c r="E189" s="48" t="s">
        <v>120</v>
      </c>
      <c r="F189" s="48" t="s">
        <v>121</v>
      </c>
      <c r="G189" s="48" t="s">
        <v>122</v>
      </c>
      <c r="H189" s="48" t="s">
        <v>123</v>
      </c>
      <c r="I189" s="48" t="s">
        <v>124</v>
      </c>
      <c r="J189" s="48" t="s">
        <v>125</v>
      </c>
      <c r="K189" s="48" t="s">
        <v>126</v>
      </c>
      <c r="L189" s="48" t="s">
        <v>127</v>
      </c>
      <c r="M189" s="48" t="s">
        <v>128</v>
      </c>
      <c r="N189" s="48" t="s">
        <v>129</v>
      </c>
      <c r="O189" s="48" t="s">
        <v>130</v>
      </c>
      <c r="P189" s="48" t="s">
        <v>131</v>
      </c>
      <c r="Q189" s="13" t="s">
        <v>34</v>
      </c>
      <c r="R189" s="13" t="s">
        <v>45</v>
      </c>
      <c r="S189" s="109" t="s">
        <v>99</v>
      </c>
      <c r="T189" s="13" t="s">
        <v>103</v>
      </c>
      <c r="U189" s="43" t="s">
        <v>100</v>
      </c>
      <c r="V189" s="43" t="s">
        <v>15</v>
      </c>
    </row>
    <row r="190" spans="4:22" x14ac:dyDescent="0.3">
      <c r="D190" s="87" t="s">
        <v>153</v>
      </c>
      <c r="E190" s="89"/>
      <c r="F190" s="86">
        <v>15</v>
      </c>
      <c r="G190" s="86"/>
      <c r="H190" s="86">
        <v>20</v>
      </c>
      <c r="I190" s="86">
        <v>13</v>
      </c>
      <c r="J190" s="86">
        <v>20</v>
      </c>
      <c r="K190" s="86">
        <v>20</v>
      </c>
      <c r="L190" s="86">
        <v>15</v>
      </c>
      <c r="M190" s="86"/>
      <c r="N190" s="86"/>
      <c r="O190" s="86">
        <v>13</v>
      </c>
      <c r="P190" s="87">
        <v>17</v>
      </c>
      <c r="Q190" s="88">
        <f>SUM(Table8[[#This Row],[1]:[12]])</f>
        <v>133</v>
      </c>
      <c r="R190" s="88">
        <f t="shared" ref="R190:R223" si="7">COUNTIF(E190:P190,"&gt;1")</f>
        <v>8</v>
      </c>
      <c r="S190" s="22" t="s">
        <v>102</v>
      </c>
      <c r="T190" s="2" t="str">
        <f>IF(Table8[[#This Row],[Observed? Y or N]]="N", "-20", "0")</f>
        <v>0</v>
      </c>
      <c r="U190" s="3">
        <f>Table8[[#This Row],[Total]]+Table8[[#This Row],[Penalty Applied]]</f>
        <v>133</v>
      </c>
      <c r="V190" s="3" t="s">
        <v>0</v>
      </c>
    </row>
    <row r="191" spans="4:22" x14ac:dyDescent="0.3">
      <c r="D191" s="87" t="s">
        <v>73</v>
      </c>
      <c r="E191" s="89">
        <v>20</v>
      </c>
      <c r="F191" s="86">
        <v>17</v>
      </c>
      <c r="G191" s="86"/>
      <c r="H191" s="86"/>
      <c r="I191" s="86"/>
      <c r="J191" s="86">
        <v>17</v>
      </c>
      <c r="K191" s="86"/>
      <c r="L191" s="86">
        <v>13</v>
      </c>
      <c r="M191" s="86"/>
      <c r="N191" s="86"/>
      <c r="O191" s="86"/>
      <c r="P191" s="87"/>
      <c r="Q191" s="90">
        <f>SUM(Table8[[#This Row],[1]:[12]])</f>
        <v>67</v>
      </c>
      <c r="R191" s="90">
        <f t="shared" si="7"/>
        <v>4</v>
      </c>
      <c r="S191" s="19" t="s">
        <v>102</v>
      </c>
      <c r="T191" s="78" t="str">
        <f>IF(Table8[[#This Row],[Observed? Y or N]]="N", "-20", "0")</f>
        <v>0</v>
      </c>
      <c r="U191" s="78">
        <f>Table8[[#This Row],[Total]]+Table8[[#This Row],[Penalty Applied]]</f>
        <v>67</v>
      </c>
      <c r="V191" s="78" t="s">
        <v>1</v>
      </c>
    </row>
    <row r="192" spans="4:22" x14ac:dyDescent="0.3">
      <c r="D192" s="87" t="s">
        <v>155</v>
      </c>
      <c r="E192" s="89"/>
      <c r="F192" s="86"/>
      <c r="G192" s="86"/>
      <c r="H192" s="86">
        <v>13</v>
      </c>
      <c r="I192" s="86"/>
      <c r="J192" s="86"/>
      <c r="K192" s="86"/>
      <c r="L192" s="86">
        <v>11</v>
      </c>
      <c r="M192" s="86">
        <v>13</v>
      </c>
      <c r="N192" s="86"/>
      <c r="O192" s="86">
        <v>9</v>
      </c>
      <c r="P192" s="87">
        <v>7</v>
      </c>
      <c r="Q192" s="90">
        <f>SUM(Table8[[#This Row],[1]:[12]])</f>
        <v>53</v>
      </c>
      <c r="R192" s="90">
        <f t="shared" si="7"/>
        <v>5</v>
      </c>
      <c r="S192" s="19" t="s">
        <v>102</v>
      </c>
      <c r="T192" s="3" t="str">
        <f>IF(Table8[[#This Row],[Observed? Y or N]]="N", "-20", "0")</f>
        <v>0</v>
      </c>
      <c r="U192" s="3">
        <f>Table8[[#This Row],[Total]]+Table8[[#This Row],[Penalty Applied]]</f>
        <v>53</v>
      </c>
      <c r="V192" s="3" t="s">
        <v>2</v>
      </c>
    </row>
    <row r="193" spans="4:22" x14ac:dyDescent="0.3">
      <c r="D193" s="50" t="s">
        <v>154</v>
      </c>
      <c r="E193" s="57"/>
      <c r="F193" s="51">
        <v>11</v>
      </c>
      <c r="G193" s="51"/>
      <c r="H193" s="51">
        <v>15</v>
      </c>
      <c r="I193" s="51">
        <v>15</v>
      </c>
      <c r="J193" s="51"/>
      <c r="K193" s="51"/>
      <c r="L193" s="51"/>
      <c r="M193" s="51"/>
      <c r="N193" s="51"/>
      <c r="O193" s="51">
        <v>20</v>
      </c>
      <c r="P193" s="50">
        <v>10</v>
      </c>
      <c r="Q193" s="52">
        <f>SUM(Table8[[#This Row],[1]:[12]])</f>
        <v>71</v>
      </c>
      <c r="R193" s="52">
        <f t="shared" si="7"/>
        <v>5</v>
      </c>
      <c r="S193" s="19" t="s">
        <v>101</v>
      </c>
      <c r="T193" s="54" t="str">
        <f>IF(Table8[[#This Row],[Observed? Y or N]]="N", "-20", "0")</f>
        <v>-20</v>
      </c>
      <c r="U193" s="54">
        <f>Table8[[#This Row],[Total]]+Table8[[#This Row],[Penalty Applied]]</f>
        <v>51</v>
      </c>
      <c r="V193" s="54"/>
    </row>
    <row r="194" spans="4:22" x14ac:dyDescent="0.3">
      <c r="D194" s="87" t="s">
        <v>91</v>
      </c>
      <c r="E194" s="89"/>
      <c r="F194" s="86"/>
      <c r="G194" s="86"/>
      <c r="H194" s="86">
        <v>11</v>
      </c>
      <c r="I194" s="86"/>
      <c r="J194" s="86"/>
      <c r="K194" s="86"/>
      <c r="L194" s="86">
        <v>9</v>
      </c>
      <c r="M194" s="86">
        <v>15</v>
      </c>
      <c r="N194" s="86"/>
      <c r="O194" s="86">
        <v>6</v>
      </c>
      <c r="P194" s="87">
        <v>8</v>
      </c>
      <c r="Q194" s="90">
        <f>SUM(Table8[[#This Row],[1]:[12]])</f>
        <v>49</v>
      </c>
      <c r="R194" s="90">
        <f t="shared" si="7"/>
        <v>5</v>
      </c>
      <c r="S194" s="19" t="s">
        <v>102</v>
      </c>
      <c r="T194" s="3" t="str">
        <f>IF(Table8[[#This Row],[Observed? Y or N]]="N", "-20", "0")</f>
        <v>0</v>
      </c>
      <c r="U194" s="3">
        <f>Table8[[#This Row],[Total]]+Table8[[#This Row],[Penalty Applied]]</f>
        <v>49</v>
      </c>
      <c r="V194" s="3"/>
    </row>
    <row r="195" spans="4:22" x14ac:dyDescent="0.3">
      <c r="D195" s="50" t="s">
        <v>218</v>
      </c>
      <c r="E195" s="57"/>
      <c r="F195" s="51"/>
      <c r="G195" s="51"/>
      <c r="H195" s="51"/>
      <c r="I195" s="51"/>
      <c r="J195" s="51"/>
      <c r="K195" s="51"/>
      <c r="L195" s="51"/>
      <c r="M195" s="51">
        <v>20</v>
      </c>
      <c r="N195" s="51"/>
      <c r="O195" s="51">
        <v>17</v>
      </c>
      <c r="P195" s="50">
        <v>20</v>
      </c>
      <c r="Q195" s="52">
        <f>SUM(Table8[[#This Row],[1]:[12]])</f>
        <v>57</v>
      </c>
      <c r="R195" s="52">
        <f t="shared" si="7"/>
        <v>3</v>
      </c>
      <c r="S195" s="19" t="s">
        <v>101</v>
      </c>
      <c r="T195" s="54" t="str">
        <f>IF(Table8[[#This Row],[Observed? Y or N]]="N", "-20", "0")</f>
        <v>-20</v>
      </c>
      <c r="U195" s="54">
        <f>Table8[[#This Row],[Total]]+Table8[[#This Row],[Penalty Applied]]</f>
        <v>37</v>
      </c>
      <c r="V195" s="54"/>
    </row>
    <row r="196" spans="4:22" x14ac:dyDescent="0.3">
      <c r="D196" s="87" t="s">
        <v>111</v>
      </c>
      <c r="E196" s="89"/>
      <c r="F196" s="86">
        <v>13</v>
      </c>
      <c r="G196" s="86"/>
      <c r="H196" s="86">
        <v>17</v>
      </c>
      <c r="I196" s="86"/>
      <c r="J196" s="86"/>
      <c r="K196" s="86"/>
      <c r="L196" s="86"/>
      <c r="M196" s="86"/>
      <c r="N196" s="86"/>
      <c r="O196" s="86"/>
      <c r="P196" s="87"/>
      <c r="Q196" s="90">
        <f>SUM(Table8[[#This Row],[1]:[12]])</f>
        <v>30</v>
      </c>
      <c r="R196" s="90">
        <f t="shared" si="7"/>
        <v>2</v>
      </c>
      <c r="S196" s="19" t="s">
        <v>102</v>
      </c>
      <c r="T196" s="3" t="str">
        <f>IF(Table8[[#This Row],[Observed? Y or N]]="N", "-20", "0")</f>
        <v>0</v>
      </c>
      <c r="U196" s="3">
        <f>Table8[[#This Row],[Total]]+Table8[[#This Row],[Penalty Applied]]</f>
        <v>30</v>
      </c>
      <c r="V196" s="3"/>
    </row>
    <row r="197" spans="4:22" x14ac:dyDescent="0.3">
      <c r="D197" s="87" t="s">
        <v>90</v>
      </c>
      <c r="E197" s="89"/>
      <c r="F197" s="86"/>
      <c r="G197" s="86"/>
      <c r="H197" s="86"/>
      <c r="I197" s="86"/>
      <c r="J197" s="86"/>
      <c r="K197" s="86"/>
      <c r="L197" s="86"/>
      <c r="M197" s="86"/>
      <c r="N197" s="86"/>
      <c r="O197" s="86">
        <v>15</v>
      </c>
      <c r="P197" s="87">
        <v>13</v>
      </c>
      <c r="Q197" s="90">
        <f>SUM(Table8[[#This Row],[1]:[12]])</f>
        <v>28</v>
      </c>
      <c r="R197" s="90">
        <f t="shared" si="7"/>
        <v>2</v>
      </c>
      <c r="S197" s="19" t="s">
        <v>102</v>
      </c>
      <c r="T197" s="78" t="str">
        <f>IF(Table8[[#This Row],[Observed? Y or N]]="N", "-20", "0")</f>
        <v>0</v>
      </c>
      <c r="U197" s="78">
        <f>Table8[[#This Row],[Total]]+Table8[[#This Row],[Penalty Applied]]</f>
        <v>28</v>
      </c>
      <c r="V197" s="78"/>
    </row>
    <row r="198" spans="4:22" x14ac:dyDescent="0.3">
      <c r="D198" s="87" t="s">
        <v>196</v>
      </c>
      <c r="E198" s="89">
        <v>15</v>
      </c>
      <c r="F198" s="86">
        <v>10</v>
      </c>
      <c r="G198" s="86"/>
      <c r="H198" s="86"/>
      <c r="I198" s="86"/>
      <c r="J198" s="86"/>
      <c r="K198" s="86"/>
      <c r="L198" s="86"/>
      <c r="M198" s="86"/>
      <c r="N198" s="86"/>
      <c r="O198" s="86"/>
      <c r="P198" s="87"/>
      <c r="Q198" s="90">
        <f>SUM(Table8[[#This Row],[1]:[12]])</f>
        <v>25</v>
      </c>
      <c r="R198" s="90">
        <f t="shared" si="7"/>
        <v>2</v>
      </c>
      <c r="S198" s="87" t="s">
        <v>102</v>
      </c>
      <c r="T198" s="104" t="str">
        <f>IF(Table8[[#This Row],[Observed? Y or N]]="N", "-20", "0")</f>
        <v>0</v>
      </c>
      <c r="U198" s="104">
        <f>Table8[[#This Row],[Total]]+Table8[[#This Row],[Penalty Applied]]</f>
        <v>25</v>
      </c>
      <c r="V198" s="104"/>
    </row>
    <row r="199" spans="4:22" x14ac:dyDescent="0.3">
      <c r="D199" s="87" t="s">
        <v>168</v>
      </c>
      <c r="E199" s="89"/>
      <c r="F199" s="86"/>
      <c r="G199" s="86"/>
      <c r="H199" s="86"/>
      <c r="I199" s="86">
        <v>11</v>
      </c>
      <c r="J199" s="86"/>
      <c r="K199" s="86"/>
      <c r="L199" s="86"/>
      <c r="M199" s="86"/>
      <c r="N199" s="86"/>
      <c r="O199" s="86"/>
      <c r="P199" s="87">
        <v>9</v>
      </c>
      <c r="Q199" s="90">
        <f>SUM(Table8[[#This Row],[1]:[12]])</f>
        <v>20</v>
      </c>
      <c r="R199" s="90">
        <f t="shared" si="7"/>
        <v>2</v>
      </c>
      <c r="S199" s="19" t="s">
        <v>102</v>
      </c>
      <c r="T199" s="3" t="str">
        <f>IF(Table8[[#This Row],[Observed? Y or N]]="N", "-20", "0")</f>
        <v>0</v>
      </c>
      <c r="U199" s="3">
        <f>Table8[[#This Row],[Total]]+Table8[[#This Row],[Penalty Applied]]</f>
        <v>20</v>
      </c>
      <c r="V199" s="3"/>
    </row>
    <row r="200" spans="4:22" x14ac:dyDescent="0.3">
      <c r="D200" s="87" t="s">
        <v>167</v>
      </c>
      <c r="E200" s="89"/>
      <c r="F200" s="86"/>
      <c r="G200" s="86"/>
      <c r="H200" s="86"/>
      <c r="I200" s="86">
        <v>17</v>
      </c>
      <c r="J200" s="86"/>
      <c r="K200" s="86"/>
      <c r="L200" s="86"/>
      <c r="M200" s="86"/>
      <c r="N200" s="86"/>
      <c r="O200" s="86"/>
      <c r="P200" s="87"/>
      <c r="Q200" s="90">
        <f>SUM(Table8[[#This Row],[1]:[12]])</f>
        <v>17</v>
      </c>
      <c r="R200" s="90">
        <f t="shared" si="7"/>
        <v>1</v>
      </c>
      <c r="S200" s="19" t="s">
        <v>102</v>
      </c>
      <c r="T200" s="78" t="str">
        <f>IF(Table8[[#This Row],[Observed? Y or N]]="N", "-20", "0")</f>
        <v>0</v>
      </c>
      <c r="U200" s="78">
        <f>Table8[[#This Row],[Total]]+Table8[[#This Row],[Penalty Applied]]</f>
        <v>17</v>
      </c>
      <c r="V200" s="78"/>
    </row>
    <row r="201" spans="4:22" x14ac:dyDescent="0.3">
      <c r="D201" s="87" t="s">
        <v>68</v>
      </c>
      <c r="E201" s="89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7">
        <v>15</v>
      </c>
      <c r="Q201" s="90">
        <f>SUM(Table8[[#This Row],[1]:[12]])</f>
        <v>15</v>
      </c>
      <c r="R201" s="90">
        <f t="shared" si="7"/>
        <v>1</v>
      </c>
      <c r="S201" s="87" t="s">
        <v>102</v>
      </c>
      <c r="T201" s="104" t="str">
        <f>IF(Table8[[#This Row],[Observed? Y or N]]="N", "-20", "0")</f>
        <v>0</v>
      </c>
      <c r="U201" s="104">
        <f>Table8[[#This Row],[Total]]+Table8[[#This Row],[Penalty Applied]]</f>
        <v>15</v>
      </c>
      <c r="V201" s="104"/>
    </row>
    <row r="202" spans="4:22" x14ac:dyDescent="0.3">
      <c r="D202" s="87" t="s">
        <v>259</v>
      </c>
      <c r="E202" s="89"/>
      <c r="F202" s="86"/>
      <c r="G202" s="86"/>
      <c r="H202" s="86"/>
      <c r="I202" s="86"/>
      <c r="J202" s="86"/>
      <c r="K202" s="86"/>
      <c r="L202" s="86"/>
      <c r="M202" s="86"/>
      <c r="N202" s="86"/>
      <c r="O202" s="86">
        <v>11</v>
      </c>
      <c r="P202" s="87"/>
      <c r="Q202" s="90">
        <f>SUM(Table8[[#This Row],[1]:[12]])</f>
        <v>11</v>
      </c>
      <c r="R202" s="90">
        <f t="shared" si="7"/>
        <v>1</v>
      </c>
      <c r="S202" s="87" t="s">
        <v>102</v>
      </c>
      <c r="T202" s="104" t="str">
        <f>IF(Table8[[#This Row],[Observed? Y or N]]="N", "-20", "0")</f>
        <v>0</v>
      </c>
      <c r="U202" s="104">
        <f>Table8[[#This Row],[Total]]+Table8[[#This Row],[Penalty Applied]]</f>
        <v>11</v>
      </c>
      <c r="V202" s="104"/>
    </row>
    <row r="203" spans="4:22" x14ac:dyDescent="0.3">
      <c r="D203" s="87" t="s">
        <v>115</v>
      </c>
      <c r="E203" s="89"/>
      <c r="F203" s="86"/>
      <c r="G203" s="86"/>
      <c r="H203" s="86">
        <v>10</v>
      </c>
      <c r="I203" s="86"/>
      <c r="J203" s="86"/>
      <c r="K203" s="86"/>
      <c r="L203" s="86"/>
      <c r="M203" s="86"/>
      <c r="N203" s="86"/>
      <c r="O203" s="86"/>
      <c r="P203" s="87"/>
      <c r="Q203" s="90">
        <f>SUM(Table8[[#This Row],[1]:[12]])</f>
        <v>10</v>
      </c>
      <c r="R203" s="90">
        <f t="shared" si="7"/>
        <v>1</v>
      </c>
      <c r="S203" s="19" t="s">
        <v>102</v>
      </c>
      <c r="T203" s="3" t="str">
        <f>IF(Table8[[#This Row],[Observed? Y or N]]="N", "-20", "0")</f>
        <v>0</v>
      </c>
      <c r="U203" s="3">
        <f>Table8[[#This Row],[Total]]+Table8[[#This Row],[Penalty Applied]]</f>
        <v>10</v>
      </c>
      <c r="V203" s="3"/>
    </row>
    <row r="204" spans="4:22" x14ac:dyDescent="0.3">
      <c r="D204" s="50" t="s">
        <v>112</v>
      </c>
      <c r="E204" s="57"/>
      <c r="F204" s="51"/>
      <c r="G204" s="51"/>
      <c r="H204" s="51"/>
      <c r="I204" s="51">
        <v>20</v>
      </c>
      <c r="J204" s="51"/>
      <c r="K204" s="51"/>
      <c r="L204" s="51"/>
      <c r="M204" s="51"/>
      <c r="N204" s="51"/>
      <c r="O204" s="51"/>
      <c r="P204" s="50"/>
      <c r="Q204" s="52">
        <f>SUM(Table8[[#This Row],[1]:[12]])</f>
        <v>20</v>
      </c>
      <c r="R204" s="52">
        <f t="shared" si="7"/>
        <v>1</v>
      </c>
      <c r="S204" s="19" t="s">
        <v>101</v>
      </c>
      <c r="T204" s="54" t="str">
        <f>IF(Table8[[#This Row],[Observed? Y or N]]="N", "-20", "0")</f>
        <v>-20</v>
      </c>
      <c r="U204" s="54">
        <f>Table8[[#This Row],[Total]]+Table8[[#This Row],[Penalty Applied]]</f>
        <v>0</v>
      </c>
      <c r="V204" s="54"/>
    </row>
    <row r="205" spans="4:22" x14ac:dyDescent="0.3">
      <c r="D205" s="50" t="s">
        <v>189</v>
      </c>
      <c r="E205" s="57"/>
      <c r="F205" s="51">
        <v>20</v>
      </c>
      <c r="G205" s="51"/>
      <c r="H205" s="51"/>
      <c r="I205" s="51"/>
      <c r="J205" s="51"/>
      <c r="K205" s="51"/>
      <c r="L205" s="51"/>
      <c r="M205" s="51"/>
      <c r="N205" s="51"/>
      <c r="O205" s="51"/>
      <c r="P205" s="50"/>
      <c r="Q205" s="52">
        <f>SUM(Table8[[#This Row],[1]:[12]])</f>
        <v>20</v>
      </c>
      <c r="R205" s="52">
        <f t="shared" si="7"/>
        <v>1</v>
      </c>
      <c r="S205" s="19" t="s">
        <v>101</v>
      </c>
      <c r="T205" s="54" t="str">
        <f>IF(Table8[[#This Row],[Observed? Y or N]]="N", "-20", "0")</f>
        <v>-20</v>
      </c>
      <c r="U205" s="54">
        <f>Table8[[#This Row],[Total]]+Table8[[#This Row],[Penalty Applied]]</f>
        <v>0</v>
      </c>
      <c r="V205" s="54"/>
    </row>
    <row r="206" spans="4:22" x14ac:dyDescent="0.3">
      <c r="D206" s="50" t="s">
        <v>224</v>
      </c>
      <c r="E206" s="57"/>
      <c r="F206" s="51"/>
      <c r="G206" s="51"/>
      <c r="H206" s="51"/>
      <c r="I206" s="51"/>
      <c r="J206" s="51"/>
      <c r="K206" s="51"/>
      <c r="L206" s="51">
        <v>20</v>
      </c>
      <c r="M206" s="51"/>
      <c r="N206" s="51"/>
      <c r="O206" s="51"/>
      <c r="P206" s="50"/>
      <c r="Q206" s="52">
        <f>SUM(Table8[[#This Row],[1]:[12]])</f>
        <v>20</v>
      </c>
      <c r="R206" s="52">
        <f t="shared" si="7"/>
        <v>1</v>
      </c>
      <c r="S206" s="19" t="s">
        <v>101</v>
      </c>
      <c r="T206" s="54" t="str">
        <f>IF(Table8[[#This Row],[Observed? Y or N]]="N", "-20", "0")</f>
        <v>-20</v>
      </c>
      <c r="U206" s="54">
        <f>Table8[[#This Row],[Total]]+Table8[[#This Row],[Penalty Applied]]</f>
        <v>0</v>
      </c>
      <c r="V206" s="54"/>
    </row>
    <row r="207" spans="4:22" x14ac:dyDescent="0.3">
      <c r="D207" s="50" t="s">
        <v>195</v>
      </c>
      <c r="E207" s="57">
        <v>17</v>
      </c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0"/>
      <c r="Q207" s="52">
        <f>SUM(Table8[[#This Row],[1]:[12]])</f>
        <v>17</v>
      </c>
      <c r="R207" s="52">
        <f t="shared" si="7"/>
        <v>1</v>
      </c>
      <c r="S207" s="19" t="s">
        <v>101</v>
      </c>
      <c r="T207" s="54" t="str">
        <f>IF(Table8[[#This Row],[Observed? Y or N]]="N", "-20", "0")</f>
        <v>-20</v>
      </c>
      <c r="U207" s="54">
        <f>Table8[[#This Row],[Total]]+Table8[[#This Row],[Penalty Applied]]</f>
        <v>-3</v>
      </c>
      <c r="V207" s="54"/>
    </row>
    <row r="208" spans="4:22" x14ac:dyDescent="0.3">
      <c r="D208" s="50" t="s">
        <v>225</v>
      </c>
      <c r="E208" s="57"/>
      <c r="F208" s="51"/>
      <c r="G208" s="51"/>
      <c r="H208" s="51"/>
      <c r="I208" s="51"/>
      <c r="J208" s="51"/>
      <c r="K208" s="51"/>
      <c r="L208" s="51">
        <v>17</v>
      </c>
      <c r="M208" s="51"/>
      <c r="N208" s="51"/>
      <c r="O208" s="51"/>
      <c r="P208" s="50"/>
      <c r="Q208" s="52">
        <f>SUM(Table8[[#This Row],[1]:[12]])</f>
        <v>17</v>
      </c>
      <c r="R208" s="52">
        <f t="shared" si="7"/>
        <v>1</v>
      </c>
      <c r="S208" s="19" t="s">
        <v>101</v>
      </c>
      <c r="T208" s="54" t="str">
        <f>IF(Table8[[#This Row],[Observed? Y or N]]="N", "-20", "0")</f>
        <v>-20</v>
      </c>
      <c r="U208" s="54">
        <f>Table8[[#This Row],[Total]]+Table8[[#This Row],[Penalty Applied]]</f>
        <v>-3</v>
      </c>
      <c r="V208" s="54"/>
    </row>
    <row r="209" spans="4:22" x14ac:dyDescent="0.3">
      <c r="D209" s="50" t="s">
        <v>222</v>
      </c>
      <c r="E209" s="57"/>
      <c r="F209" s="51"/>
      <c r="G209" s="51"/>
      <c r="H209" s="51"/>
      <c r="I209" s="51"/>
      <c r="J209" s="51"/>
      <c r="K209" s="51"/>
      <c r="L209" s="51"/>
      <c r="M209" s="51">
        <v>11</v>
      </c>
      <c r="N209" s="51"/>
      <c r="O209" s="51"/>
      <c r="P209" s="50"/>
      <c r="Q209" s="52">
        <f>SUM(Table8[[#This Row],[1]:[12]])</f>
        <v>11</v>
      </c>
      <c r="R209" s="52">
        <f t="shared" si="7"/>
        <v>1</v>
      </c>
      <c r="S209" s="19" t="s">
        <v>101</v>
      </c>
      <c r="T209" s="54" t="str">
        <f>IF(Table8[[#This Row],[Observed? Y or N]]="N", "-20", "0")</f>
        <v>-20</v>
      </c>
      <c r="U209" s="54">
        <f>Table8[[#This Row],[Total]]+Table8[[#This Row],[Penalty Applied]]</f>
        <v>-9</v>
      </c>
      <c r="V209" s="54"/>
    </row>
    <row r="210" spans="4:22" x14ac:dyDescent="0.3">
      <c r="D210" s="50" t="s">
        <v>276</v>
      </c>
      <c r="E210" s="57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0">
        <v>11</v>
      </c>
      <c r="Q210" s="52">
        <f>SUM(Table8[[#This Row],[1]:[12]])</f>
        <v>11</v>
      </c>
      <c r="R210" s="52">
        <f t="shared" si="7"/>
        <v>1</v>
      </c>
      <c r="S210" s="19" t="s">
        <v>101</v>
      </c>
      <c r="T210" s="54" t="str">
        <f>IF(Table8[[#This Row],[Observed? Y or N]]="N", "-20", "0")</f>
        <v>-20</v>
      </c>
      <c r="U210" s="54">
        <f>Table8[[#This Row],[Total]]+Table8[[#This Row],[Penalty Applied]]</f>
        <v>-9</v>
      </c>
      <c r="V210" s="54"/>
    </row>
    <row r="211" spans="4:22" x14ac:dyDescent="0.3">
      <c r="D211" s="50" t="s">
        <v>226</v>
      </c>
      <c r="E211" s="57"/>
      <c r="F211" s="51"/>
      <c r="G211" s="51"/>
      <c r="H211" s="51"/>
      <c r="I211" s="51"/>
      <c r="J211" s="51"/>
      <c r="K211" s="51"/>
      <c r="L211" s="51">
        <v>10</v>
      </c>
      <c r="M211" s="51"/>
      <c r="N211" s="51"/>
      <c r="O211" s="51"/>
      <c r="P211" s="50"/>
      <c r="Q211" s="52">
        <f>SUM(Table8[[#This Row],[1]:[12]])</f>
        <v>10</v>
      </c>
      <c r="R211" s="52">
        <f t="shared" si="7"/>
        <v>1</v>
      </c>
      <c r="S211" s="19" t="s">
        <v>101</v>
      </c>
      <c r="T211" s="54" t="str">
        <f>IF(Table8[[#This Row],[Observed? Y or N]]="N", "-20", "0")</f>
        <v>-20</v>
      </c>
      <c r="U211" s="54">
        <f>Table8[[#This Row],[Total]]+Table8[[#This Row],[Penalty Applied]]</f>
        <v>-10</v>
      </c>
      <c r="V211" s="54"/>
    </row>
    <row r="212" spans="4:22" x14ac:dyDescent="0.3">
      <c r="D212" s="50" t="s">
        <v>260</v>
      </c>
      <c r="E212" s="57"/>
      <c r="F212" s="51"/>
      <c r="G212" s="51"/>
      <c r="H212" s="51"/>
      <c r="I212" s="51"/>
      <c r="J212" s="51"/>
      <c r="K212" s="51"/>
      <c r="L212" s="51"/>
      <c r="M212" s="51"/>
      <c r="N212" s="51"/>
      <c r="O212" s="51">
        <v>10</v>
      </c>
      <c r="P212" s="50"/>
      <c r="Q212" s="52">
        <f>SUM(Table8[[#This Row],[1]:[12]])</f>
        <v>10</v>
      </c>
      <c r="R212" s="52">
        <f t="shared" si="7"/>
        <v>1</v>
      </c>
      <c r="S212" s="19" t="s">
        <v>101</v>
      </c>
      <c r="T212" s="54" t="str">
        <f>IF(Table8[[#This Row],[Observed? Y or N]]="N", "-20", "0")</f>
        <v>-20</v>
      </c>
      <c r="U212" s="54">
        <f>Table8[[#This Row],[Total]]+Table8[[#This Row],[Penalty Applied]]</f>
        <v>-10</v>
      </c>
      <c r="V212" s="54"/>
    </row>
    <row r="213" spans="4:22" x14ac:dyDescent="0.3">
      <c r="D213" s="50" t="s">
        <v>227</v>
      </c>
      <c r="E213" s="57"/>
      <c r="F213" s="51"/>
      <c r="G213" s="51"/>
      <c r="H213" s="51"/>
      <c r="I213" s="51"/>
      <c r="J213" s="51"/>
      <c r="K213" s="51"/>
      <c r="L213" s="51">
        <v>8</v>
      </c>
      <c r="M213" s="51"/>
      <c r="N213" s="51"/>
      <c r="O213" s="51"/>
      <c r="P213" s="50"/>
      <c r="Q213" s="52">
        <f>SUM(Table8[[#This Row],[1]:[12]])</f>
        <v>8</v>
      </c>
      <c r="R213" s="52">
        <f t="shared" si="7"/>
        <v>1</v>
      </c>
      <c r="S213" s="19" t="s">
        <v>101</v>
      </c>
      <c r="T213" s="54" t="str">
        <f>IF(Table8[[#This Row],[Observed? Y or N]]="N", "-20", "0")</f>
        <v>-20</v>
      </c>
      <c r="U213" s="54">
        <f>Table8[[#This Row],[Total]]+Table8[[#This Row],[Penalty Applied]]</f>
        <v>-12</v>
      </c>
      <c r="V213" s="54"/>
    </row>
    <row r="214" spans="4:22" x14ac:dyDescent="0.3">
      <c r="D214" s="50" t="s">
        <v>261</v>
      </c>
      <c r="E214" s="57"/>
      <c r="F214" s="51"/>
      <c r="G214" s="51"/>
      <c r="H214" s="51"/>
      <c r="I214" s="51"/>
      <c r="J214" s="51"/>
      <c r="K214" s="51"/>
      <c r="L214" s="51"/>
      <c r="M214" s="51"/>
      <c r="N214" s="51"/>
      <c r="O214" s="51">
        <v>8</v>
      </c>
      <c r="P214" s="50"/>
      <c r="Q214" s="52">
        <f>SUM(Table8[[#This Row],[1]:[12]])</f>
        <v>8</v>
      </c>
      <c r="R214" s="52">
        <f t="shared" si="7"/>
        <v>1</v>
      </c>
      <c r="S214" s="19" t="s">
        <v>101</v>
      </c>
      <c r="T214" s="54" t="str">
        <f>IF(Table8[[#This Row],[Observed? Y or N]]="N", "-20", "0")</f>
        <v>-20</v>
      </c>
      <c r="U214" s="54">
        <f>Table8[[#This Row],[Total]]+Table8[[#This Row],[Penalty Applied]]</f>
        <v>-12</v>
      </c>
      <c r="V214" s="54"/>
    </row>
    <row r="215" spans="4:22" x14ac:dyDescent="0.3">
      <c r="D215" s="50" t="s">
        <v>262</v>
      </c>
      <c r="E215" s="57"/>
      <c r="F215" s="51"/>
      <c r="G215" s="51"/>
      <c r="H215" s="51"/>
      <c r="I215" s="51"/>
      <c r="J215" s="51"/>
      <c r="K215" s="51"/>
      <c r="L215" s="51"/>
      <c r="M215" s="51"/>
      <c r="N215" s="51"/>
      <c r="O215" s="51">
        <v>7</v>
      </c>
      <c r="P215" s="50"/>
      <c r="Q215" s="52">
        <f>SUM(Table8[[#This Row],[1]:[12]])</f>
        <v>7</v>
      </c>
      <c r="R215" s="52">
        <f t="shared" si="7"/>
        <v>1</v>
      </c>
      <c r="S215" s="19" t="s">
        <v>101</v>
      </c>
      <c r="T215" s="54" t="str">
        <f>IF(Table8[[#This Row],[Observed? Y or N]]="N", "-20", "0")</f>
        <v>-20</v>
      </c>
      <c r="U215" s="54">
        <f>Table8[[#This Row],[Total]]+Table8[[#This Row],[Penalty Applied]]</f>
        <v>-13</v>
      </c>
      <c r="V215" s="54"/>
    </row>
    <row r="216" spans="4:22" x14ac:dyDescent="0.3">
      <c r="D216" s="50"/>
      <c r="E216" s="57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0"/>
      <c r="Q216" s="52">
        <f>SUM(Table8[[#This Row],[1]:[12]])</f>
        <v>0</v>
      </c>
      <c r="R216" s="52">
        <f t="shared" si="7"/>
        <v>0</v>
      </c>
      <c r="S216" s="19" t="s">
        <v>101</v>
      </c>
      <c r="T216" s="54" t="str">
        <f>IF(Table8[[#This Row],[Observed? Y or N]]="N", "-20", "0")</f>
        <v>-20</v>
      </c>
      <c r="U216" s="54">
        <f>Table8[[#This Row],[Total]]+Table8[[#This Row],[Penalty Applied]]</f>
        <v>-20</v>
      </c>
      <c r="V216" s="54"/>
    </row>
    <row r="217" spans="4:22" x14ac:dyDescent="0.3">
      <c r="D217" s="50"/>
      <c r="E217" s="57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0"/>
      <c r="Q217" s="52">
        <f>SUM(Table8[[#This Row],[1]:[12]])</f>
        <v>0</v>
      </c>
      <c r="R217" s="52">
        <f t="shared" si="7"/>
        <v>0</v>
      </c>
      <c r="S217" s="19" t="s">
        <v>101</v>
      </c>
      <c r="T217" s="54" t="str">
        <f>IF(Table8[[#This Row],[Observed? Y or N]]="N", "-20", "0")</f>
        <v>-20</v>
      </c>
      <c r="U217" s="54">
        <f>Table8[[#This Row],[Total]]+Table8[[#This Row],[Penalty Applied]]</f>
        <v>-20</v>
      </c>
      <c r="V217" s="54"/>
    </row>
    <row r="218" spans="4:22" x14ac:dyDescent="0.3">
      <c r="D218" s="50"/>
      <c r="E218" s="57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0"/>
      <c r="Q218" s="52">
        <f>SUM(Table8[[#This Row],[1]:[12]])</f>
        <v>0</v>
      </c>
      <c r="R218" s="52">
        <f t="shared" si="7"/>
        <v>0</v>
      </c>
      <c r="S218" s="19" t="s">
        <v>101</v>
      </c>
      <c r="T218" s="54" t="str">
        <f>IF(Table8[[#This Row],[Observed? Y or N]]="N", "-20", "0")</f>
        <v>-20</v>
      </c>
      <c r="U218" s="54">
        <f>Table8[[#This Row],[Total]]+Table8[[#This Row],[Penalty Applied]]</f>
        <v>-20</v>
      </c>
      <c r="V218" s="54"/>
    </row>
    <row r="219" spans="4:22" x14ac:dyDescent="0.3">
      <c r="D219" s="50"/>
      <c r="E219" s="57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0"/>
      <c r="Q219" s="52">
        <f>SUM(Table8[[#This Row],[1]:[12]])</f>
        <v>0</v>
      </c>
      <c r="R219" s="52">
        <f t="shared" si="7"/>
        <v>0</v>
      </c>
      <c r="S219" s="19" t="s">
        <v>101</v>
      </c>
      <c r="T219" s="54" t="str">
        <f>IF(Table8[[#This Row],[Observed? Y or N]]="N", "-20", "0")</f>
        <v>-20</v>
      </c>
      <c r="U219" s="54">
        <f>Table8[[#This Row],[Total]]+Table8[[#This Row],[Penalty Applied]]</f>
        <v>-20</v>
      </c>
      <c r="V219" s="54"/>
    </row>
    <row r="220" spans="4:22" x14ac:dyDescent="0.3">
      <c r="D220" s="50"/>
      <c r="E220" s="57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0"/>
      <c r="Q220" s="52">
        <f>SUM(Table8[[#This Row],[1]:[12]])</f>
        <v>0</v>
      </c>
      <c r="R220" s="52">
        <f t="shared" si="7"/>
        <v>0</v>
      </c>
      <c r="S220" s="19" t="s">
        <v>101</v>
      </c>
      <c r="T220" s="54" t="str">
        <f>IF(Table8[[#This Row],[Observed? Y or N]]="N", "-20", "0")</f>
        <v>-20</v>
      </c>
      <c r="U220" s="54">
        <f>Table8[[#This Row],[Total]]+Table8[[#This Row],[Penalty Applied]]</f>
        <v>-20</v>
      </c>
      <c r="V220" s="54"/>
    </row>
    <row r="221" spans="4:22" x14ac:dyDescent="0.3">
      <c r="D221" s="50"/>
      <c r="E221" s="57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0"/>
      <c r="Q221" s="52">
        <f>SUM(Table8[[#This Row],[1]:[12]])</f>
        <v>0</v>
      </c>
      <c r="R221" s="52">
        <f t="shared" si="7"/>
        <v>0</v>
      </c>
      <c r="S221" s="19" t="s">
        <v>101</v>
      </c>
      <c r="T221" s="54" t="str">
        <f>IF(Table8[[#This Row],[Observed? Y or N]]="N", "-20", "0")</f>
        <v>-20</v>
      </c>
      <c r="U221" s="54">
        <f>Table8[[#This Row],[Total]]+Table8[[#This Row],[Penalty Applied]]</f>
        <v>-20</v>
      </c>
      <c r="V221" s="54"/>
    </row>
    <row r="222" spans="4:22" x14ac:dyDescent="0.3">
      <c r="D222" s="50"/>
      <c r="E222" s="57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0"/>
      <c r="Q222" s="52">
        <f>SUM(Table8[[#This Row],[1]:[12]])</f>
        <v>0</v>
      </c>
      <c r="R222" s="52">
        <f t="shared" si="7"/>
        <v>0</v>
      </c>
      <c r="S222" s="19" t="s">
        <v>101</v>
      </c>
      <c r="T222" s="54" t="str">
        <f>IF(Table8[[#This Row],[Observed? Y or N]]="N", "-20", "0")</f>
        <v>-20</v>
      </c>
      <c r="U222" s="54">
        <f>Table8[[#This Row],[Total]]+Table8[[#This Row],[Penalty Applied]]</f>
        <v>-20</v>
      </c>
      <c r="V222" s="54"/>
    </row>
    <row r="223" spans="4:22" x14ac:dyDescent="0.3">
      <c r="D223" s="50"/>
      <c r="E223" s="57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0"/>
      <c r="Q223" s="52">
        <f>SUM(Table8[[#This Row],[1]:[12]])</f>
        <v>0</v>
      </c>
      <c r="R223" s="52">
        <f t="shared" si="7"/>
        <v>0</v>
      </c>
      <c r="S223" s="19" t="s">
        <v>101</v>
      </c>
      <c r="T223" s="54" t="str">
        <f>IF(Table8[[#This Row],[Observed? Y or N]]="N", "-20", "0")</f>
        <v>-20</v>
      </c>
      <c r="U223" s="54">
        <f>Table8[[#This Row],[Total]]+Table8[[#This Row],[Penalty Applied]]</f>
        <v>-20</v>
      </c>
      <c r="V223" s="54"/>
    </row>
    <row r="225" spans="4:22" ht="15" thickBot="1" x14ac:dyDescent="0.35"/>
    <row r="226" spans="4:22" ht="153" thickBot="1" x14ac:dyDescent="0.35">
      <c r="D226" s="110" t="s">
        <v>49</v>
      </c>
      <c r="E226" s="111" t="s">
        <v>120</v>
      </c>
      <c r="F226" s="111" t="s">
        <v>121</v>
      </c>
      <c r="G226" s="111" t="s">
        <v>122</v>
      </c>
      <c r="H226" s="111" t="s">
        <v>123</v>
      </c>
      <c r="I226" s="111" t="s">
        <v>124</v>
      </c>
      <c r="J226" s="111" t="s">
        <v>125</v>
      </c>
      <c r="K226" s="111" t="s">
        <v>126</v>
      </c>
      <c r="L226" s="111" t="s">
        <v>127</v>
      </c>
      <c r="M226" s="111" t="s">
        <v>128</v>
      </c>
      <c r="N226" s="111" t="s">
        <v>129</v>
      </c>
      <c r="O226" s="111" t="s">
        <v>130</v>
      </c>
      <c r="P226" s="111" t="s">
        <v>131</v>
      </c>
      <c r="Q226" s="13" t="s">
        <v>34</v>
      </c>
      <c r="R226" s="13" t="s">
        <v>45</v>
      </c>
      <c r="S226" s="109" t="s">
        <v>99</v>
      </c>
      <c r="T226" s="13" t="s">
        <v>103</v>
      </c>
      <c r="U226" s="43" t="s">
        <v>100</v>
      </c>
      <c r="V226" s="43" t="s">
        <v>15</v>
      </c>
    </row>
    <row r="227" spans="4:22" x14ac:dyDescent="0.3">
      <c r="D227" s="85" t="s">
        <v>79</v>
      </c>
      <c r="E227" s="86"/>
      <c r="F227" s="86">
        <v>10</v>
      </c>
      <c r="G227" s="86"/>
      <c r="H227" s="86"/>
      <c r="I227" s="86"/>
      <c r="J227" s="86"/>
      <c r="K227" s="86"/>
      <c r="L227" s="86"/>
      <c r="M227" s="86">
        <v>20</v>
      </c>
      <c r="N227" s="86"/>
      <c r="O227" s="86">
        <v>20</v>
      </c>
      <c r="P227" s="87"/>
      <c r="Q227" s="112">
        <f>SUM(Table9[[#This Row],[1]:[12]])</f>
        <v>50</v>
      </c>
      <c r="R227" s="88">
        <f t="shared" ref="R227:R243" si="8">COUNTIF(E227:P227,"&gt;1")</f>
        <v>3</v>
      </c>
      <c r="S227" s="22" t="s">
        <v>102</v>
      </c>
      <c r="T227" s="113" t="str">
        <f>IF(Table9[[#This Row],[Observed? Y or N]]="N", "-20", "0")</f>
        <v>0</v>
      </c>
      <c r="U227" s="65">
        <f>Table9[[#This Row],[Total]]+Table9[[#This Row],[Penalty Applied]]</f>
        <v>50</v>
      </c>
      <c r="V227" s="95" t="s">
        <v>0</v>
      </c>
    </row>
    <row r="228" spans="4:22" x14ac:dyDescent="0.3">
      <c r="D228" s="87" t="s">
        <v>137</v>
      </c>
      <c r="E228" s="86"/>
      <c r="F228" s="86">
        <v>20</v>
      </c>
      <c r="G228" s="86"/>
      <c r="H228" s="86">
        <v>20</v>
      </c>
      <c r="I228" s="86"/>
      <c r="J228" s="86"/>
      <c r="K228" s="86"/>
      <c r="L228" s="86"/>
      <c r="M228" s="86"/>
      <c r="N228" s="86"/>
      <c r="O228" s="86"/>
      <c r="P228" s="87"/>
      <c r="Q228" s="89">
        <f>SUM(Table9[[#This Row],[1]:[12]])</f>
        <v>40</v>
      </c>
      <c r="R228" s="90">
        <f t="shared" si="8"/>
        <v>2</v>
      </c>
      <c r="S228" s="19" t="s">
        <v>102</v>
      </c>
      <c r="T228" s="19" t="str">
        <f>IF(Table9[[#This Row],[Observed? Y or N]]="N", "-20", "0")</f>
        <v>0</v>
      </c>
      <c r="U228">
        <f>Table9[[#This Row],[Total]]+Table9[[#This Row],[Penalty Applied]]</f>
        <v>40</v>
      </c>
      <c r="V228" s="3" t="s">
        <v>1</v>
      </c>
    </row>
    <row r="229" spans="4:22" x14ac:dyDescent="0.3">
      <c r="D229" s="87" t="s">
        <v>98</v>
      </c>
      <c r="E229" s="86"/>
      <c r="F229" s="86">
        <v>15</v>
      </c>
      <c r="G229" s="86"/>
      <c r="H229" s="86"/>
      <c r="I229" s="86"/>
      <c r="J229" s="86"/>
      <c r="K229" s="86">
        <v>17</v>
      </c>
      <c r="L229" s="86"/>
      <c r="M229" s="86"/>
      <c r="N229" s="86"/>
      <c r="O229" s="86"/>
      <c r="P229" s="87"/>
      <c r="Q229" s="89">
        <f>SUM(Table9[[#This Row],[1]:[12]])</f>
        <v>32</v>
      </c>
      <c r="R229" s="90">
        <f t="shared" si="8"/>
        <v>2</v>
      </c>
      <c r="S229" s="19" t="s">
        <v>102</v>
      </c>
      <c r="T229" s="19" t="str">
        <f>IF(Table9[[#This Row],[Observed? Y or N]]="N", "-20", "0")</f>
        <v>0</v>
      </c>
      <c r="U229">
        <f>Table9[[#This Row],[Total]]+Table9[[#This Row],[Penalty Applied]]</f>
        <v>32</v>
      </c>
      <c r="V229" s="3" t="s">
        <v>2</v>
      </c>
    </row>
    <row r="230" spans="4:22" x14ac:dyDescent="0.3">
      <c r="D230" s="87" t="s">
        <v>184</v>
      </c>
      <c r="E230" s="86"/>
      <c r="F230" s="86">
        <v>11</v>
      </c>
      <c r="G230" s="86"/>
      <c r="H230" s="86"/>
      <c r="I230" s="86"/>
      <c r="J230" s="86"/>
      <c r="K230" s="86">
        <v>10</v>
      </c>
      <c r="L230" s="86"/>
      <c r="M230" s="86"/>
      <c r="N230" s="86"/>
      <c r="O230" s="86"/>
      <c r="P230" s="87"/>
      <c r="Q230" s="89">
        <f>SUM(Table9[[#This Row],[1]:[12]])</f>
        <v>21</v>
      </c>
      <c r="R230" s="90">
        <f t="shared" si="8"/>
        <v>2</v>
      </c>
      <c r="S230" s="19" t="s">
        <v>102</v>
      </c>
      <c r="T230" s="64" t="str">
        <f>IF(Table9[[#This Row],[Observed? Y or N]]="N", "-20", "0")</f>
        <v>0</v>
      </c>
      <c r="U230" s="65">
        <f>Table9[[#This Row],[Total]]+Table9[[#This Row],[Penalty Applied]]</f>
        <v>21</v>
      </c>
      <c r="V230" s="78"/>
    </row>
    <row r="231" spans="4:22" x14ac:dyDescent="0.3">
      <c r="D231" s="91" t="s">
        <v>228</v>
      </c>
      <c r="E231" s="92"/>
      <c r="F231" s="92"/>
      <c r="G231" s="92"/>
      <c r="H231" s="92"/>
      <c r="I231" s="92"/>
      <c r="J231" s="92"/>
      <c r="K231" s="92"/>
      <c r="L231" s="92"/>
      <c r="M231" s="92">
        <v>17</v>
      </c>
      <c r="N231" s="92"/>
      <c r="O231" s="92"/>
      <c r="P231" s="91"/>
      <c r="Q231" s="93">
        <f>SUM(E231:P231)</f>
        <v>17</v>
      </c>
      <c r="R231" s="94">
        <f t="shared" si="8"/>
        <v>1</v>
      </c>
      <c r="S231" s="75" t="s">
        <v>102</v>
      </c>
      <c r="T231" s="75" t="str">
        <f>IF(Table9[[#This Row],[Observed? Y or N]]="N", "-20", "0")</f>
        <v>0</v>
      </c>
      <c r="U231" s="77">
        <f>Table9[[#This Row],[Total]]+Table9[[#This Row],[Penalty Applied]]</f>
        <v>17</v>
      </c>
      <c r="V231" s="78"/>
    </row>
    <row r="232" spans="4:22" x14ac:dyDescent="0.3">
      <c r="D232" s="87" t="s">
        <v>78</v>
      </c>
      <c r="E232" s="86"/>
      <c r="F232" s="86"/>
      <c r="G232" s="86"/>
      <c r="H232" s="86"/>
      <c r="I232" s="86"/>
      <c r="J232" s="86"/>
      <c r="K232" s="86">
        <v>11</v>
      </c>
      <c r="L232" s="86"/>
      <c r="M232" s="86"/>
      <c r="N232" s="86"/>
      <c r="O232" s="86"/>
      <c r="P232" s="87"/>
      <c r="Q232" s="89">
        <f>SUM(Table9[[#This Row],[1]:[12]])</f>
        <v>11</v>
      </c>
      <c r="R232" s="90">
        <f t="shared" si="8"/>
        <v>1</v>
      </c>
      <c r="S232" s="19" t="s">
        <v>102</v>
      </c>
      <c r="T232" s="19" t="str">
        <f>IF(Table9[[#This Row],[Observed? Y or N]]="N", "-20", "0")</f>
        <v>0</v>
      </c>
      <c r="U232">
        <f>Table9[[#This Row],[Total]]+Table9[[#This Row],[Penalty Applied]]</f>
        <v>11</v>
      </c>
      <c r="V232" s="3"/>
    </row>
    <row r="233" spans="4:22" x14ac:dyDescent="0.3">
      <c r="D233" s="50" t="s">
        <v>210</v>
      </c>
      <c r="E233" s="51"/>
      <c r="F233" s="51">
        <v>8</v>
      </c>
      <c r="G233" s="51"/>
      <c r="H233" s="51"/>
      <c r="I233" s="51"/>
      <c r="J233" s="51"/>
      <c r="K233" s="51"/>
      <c r="L233" s="51"/>
      <c r="M233" s="51"/>
      <c r="N233" s="51"/>
      <c r="O233" s="51"/>
      <c r="P233" s="50">
        <v>20</v>
      </c>
      <c r="Q233" s="57">
        <f>SUM(Table9[[#This Row],[1]:[12]])</f>
        <v>28</v>
      </c>
      <c r="R233" s="52">
        <f t="shared" si="8"/>
        <v>2</v>
      </c>
      <c r="S233" s="19" t="s">
        <v>101</v>
      </c>
      <c r="T233" s="61" t="str">
        <f>IF(Table9[[#This Row],[Observed? Y or N]]="N", "-20", "0")</f>
        <v>-20</v>
      </c>
      <c r="U233" s="49">
        <f>Table9[[#This Row],[Total]]+Table9[[#This Row],[Penalty Applied]]</f>
        <v>8</v>
      </c>
      <c r="V233" s="54"/>
    </row>
    <row r="234" spans="4:22" x14ac:dyDescent="0.3">
      <c r="D234" s="50" t="s">
        <v>181</v>
      </c>
      <c r="E234" s="51"/>
      <c r="F234" s="51"/>
      <c r="G234" s="51"/>
      <c r="H234" s="51"/>
      <c r="I234" s="51"/>
      <c r="J234" s="51"/>
      <c r="K234" s="51">
        <v>20</v>
      </c>
      <c r="L234" s="51"/>
      <c r="M234" s="51"/>
      <c r="N234" s="51"/>
      <c r="O234" s="51"/>
      <c r="P234" s="50"/>
      <c r="Q234" s="57">
        <f>SUM(Table9[[#This Row],[1]:[12]])</f>
        <v>20</v>
      </c>
      <c r="R234" s="52">
        <f t="shared" si="8"/>
        <v>1</v>
      </c>
      <c r="S234" s="19" t="s">
        <v>101</v>
      </c>
      <c r="T234" s="61" t="str">
        <f>IF(Table9[[#This Row],[Observed? Y or N]]="N", "-20", "0")</f>
        <v>-20</v>
      </c>
      <c r="U234" s="49">
        <f>Table9[[#This Row],[Total]]+Table9[[#This Row],[Penalty Applied]]</f>
        <v>0</v>
      </c>
      <c r="V234" s="54"/>
    </row>
    <row r="235" spans="4:22" x14ac:dyDescent="0.3">
      <c r="D235" s="50" t="s">
        <v>207</v>
      </c>
      <c r="E235" s="51"/>
      <c r="F235" s="51">
        <v>17</v>
      </c>
      <c r="G235" s="51"/>
      <c r="H235" s="51"/>
      <c r="I235" s="51"/>
      <c r="J235" s="51"/>
      <c r="K235" s="51"/>
      <c r="L235" s="51"/>
      <c r="M235" s="51"/>
      <c r="N235" s="51"/>
      <c r="O235" s="51"/>
      <c r="P235" s="50"/>
      <c r="Q235" s="57">
        <f>SUM(Table9[[#This Row],[1]:[12]])</f>
        <v>17</v>
      </c>
      <c r="R235" s="52">
        <f t="shared" si="8"/>
        <v>1</v>
      </c>
      <c r="S235" s="19" t="s">
        <v>101</v>
      </c>
      <c r="T235" s="61" t="str">
        <f>IF(Table9[[#This Row],[Observed? Y or N]]="N", "-20", "0")</f>
        <v>-20</v>
      </c>
      <c r="U235" s="49">
        <f>Table9[[#This Row],[Total]]+Table9[[#This Row],[Penalty Applied]]</f>
        <v>-3</v>
      </c>
      <c r="V235" s="54"/>
    </row>
    <row r="236" spans="4:22" x14ac:dyDescent="0.3">
      <c r="D236" s="72" t="s">
        <v>267</v>
      </c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>
        <v>17</v>
      </c>
      <c r="P236" s="72"/>
      <c r="Q236" s="74">
        <f>SUM(E236:P236)</f>
        <v>17</v>
      </c>
      <c r="R236" s="71">
        <f t="shared" si="8"/>
        <v>1</v>
      </c>
      <c r="S236" s="75" t="s">
        <v>101</v>
      </c>
      <c r="T236" s="106" t="str">
        <f>IF(Table9[[#This Row],[Observed? Y or N]]="N", "-20", "0")</f>
        <v>-20</v>
      </c>
      <c r="U236" s="105">
        <f>Table9[[#This Row],[Total]]+Table9[[#This Row],[Penalty Applied]]</f>
        <v>-3</v>
      </c>
      <c r="V236" s="54"/>
    </row>
    <row r="237" spans="4:22" x14ac:dyDescent="0.3">
      <c r="D237" s="50" t="s">
        <v>182</v>
      </c>
      <c r="E237" s="51"/>
      <c r="F237" s="51"/>
      <c r="G237" s="51"/>
      <c r="H237" s="51"/>
      <c r="I237" s="51"/>
      <c r="J237" s="51"/>
      <c r="K237" s="51">
        <v>15</v>
      </c>
      <c r="L237" s="51"/>
      <c r="M237" s="51"/>
      <c r="N237" s="51"/>
      <c r="O237" s="51"/>
      <c r="P237" s="50"/>
      <c r="Q237" s="57">
        <f>SUM(Table9[[#This Row],[1]:[12]])</f>
        <v>15</v>
      </c>
      <c r="R237" s="52">
        <f t="shared" si="8"/>
        <v>1</v>
      </c>
      <c r="S237" s="19" t="s">
        <v>101</v>
      </c>
      <c r="T237" s="61" t="str">
        <f>IF(Table9[[#This Row],[Observed? Y or N]]="N", "-20", "0")</f>
        <v>-20</v>
      </c>
      <c r="U237" s="49">
        <f>Table9[[#This Row],[Total]]+Table9[[#This Row],[Penalty Applied]]</f>
        <v>-5</v>
      </c>
      <c r="V237" s="54"/>
    </row>
    <row r="238" spans="4:22" x14ac:dyDescent="0.3">
      <c r="D238" s="72" t="s">
        <v>268</v>
      </c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>
        <v>15</v>
      </c>
      <c r="P238" s="72"/>
      <c r="Q238" s="74">
        <f>SUM(E238:P238)</f>
        <v>15</v>
      </c>
      <c r="R238" s="71">
        <f t="shared" si="8"/>
        <v>1</v>
      </c>
      <c r="S238" s="75" t="s">
        <v>101</v>
      </c>
      <c r="T238" s="106" t="str">
        <f>IF(Table9[[#This Row],[Observed? Y or N]]="N", "-20", "0")</f>
        <v>-20</v>
      </c>
      <c r="U238" s="105">
        <f>Table9[[#This Row],[Total]]+Table9[[#This Row],[Penalty Applied]]</f>
        <v>-5</v>
      </c>
      <c r="V238" s="54"/>
    </row>
    <row r="239" spans="4:22" x14ac:dyDescent="0.3">
      <c r="D239" s="50" t="s">
        <v>183</v>
      </c>
      <c r="E239" s="51"/>
      <c r="F239" s="51"/>
      <c r="G239" s="51"/>
      <c r="H239" s="51"/>
      <c r="I239" s="51"/>
      <c r="J239" s="51"/>
      <c r="K239" s="51">
        <v>13</v>
      </c>
      <c r="L239" s="51"/>
      <c r="M239" s="51"/>
      <c r="N239" s="51"/>
      <c r="O239" s="51"/>
      <c r="P239" s="50"/>
      <c r="Q239" s="57">
        <f>SUM(Table9[[#This Row],[1]:[12]])</f>
        <v>13</v>
      </c>
      <c r="R239" s="52">
        <f t="shared" si="8"/>
        <v>1</v>
      </c>
      <c r="S239" s="19" t="s">
        <v>101</v>
      </c>
      <c r="T239" s="61" t="str">
        <f>IF(Table9[[#This Row],[Observed? Y or N]]="N", "-20", "0")</f>
        <v>-20</v>
      </c>
      <c r="U239" s="49">
        <f>Table9[[#This Row],[Total]]+Table9[[#This Row],[Penalty Applied]]</f>
        <v>-7</v>
      </c>
      <c r="V239" s="54"/>
    </row>
    <row r="240" spans="4:22" x14ac:dyDescent="0.3">
      <c r="D240" s="50" t="s">
        <v>208</v>
      </c>
      <c r="E240" s="51"/>
      <c r="F240" s="51">
        <v>13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0"/>
      <c r="Q240" s="57">
        <f>SUM(Table9[[#This Row],[1]:[12]])</f>
        <v>13</v>
      </c>
      <c r="R240" s="52">
        <f t="shared" si="8"/>
        <v>1</v>
      </c>
      <c r="S240" s="19" t="s">
        <v>101</v>
      </c>
      <c r="T240" s="61" t="str">
        <f>IF(Table9[[#This Row],[Observed? Y or N]]="N", "-20", "0")</f>
        <v>-20</v>
      </c>
      <c r="U240" s="49">
        <f>Table9[[#This Row],[Total]]+Table9[[#This Row],[Penalty Applied]]</f>
        <v>-7</v>
      </c>
      <c r="V240" s="54"/>
    </row>
    <row r="241" spans="4:22" x14ac:dyDescent="0.3">
      <c r="D241" s="50" t="s">
        <v>185</v>
      </c>
      <c r="E241" s="51"/>
      <c r="F241" s="51"/>
      <c r="G241" s="51"/>
      <c r="H241" s="51"/>
      <c r="I241" s="51"/>
      <c r="J241" s="51"/>
      <c r="K241" s="51">
        <v>9</v>
      </c>
      <c r="L241" s="51"/>
      <c r="M241" s="51"/>
      <c r="N241" s="51"/>
      <c r="O241" s="51"/>
      <c r="P241" s="50"/>
      <c r="Q241" s="57">
        <f>SUM(Table9[[#This Row],[1]:[12]])</f>
        <v>9</v>
      </c>
      <c r="R241" s="52">
        <f t="shared" si="8"/>
        <v>1</v>
      </c>
      <c r="S241" s="19" t="s">
        <v>101</v>
      </c>
      <c r="T241" s="61" t="str">
        <f>IF(Table9[[#This Row],[Observed? Y or N]]="N", "-20", "0")</f>
        <v>-20</v>
      </c>
      <c r="U241" s="49">
        <f>Table9[[#This Row],[Total]]+Table9[[#This Row],[Penalty Applied]]</f>
        <v>-11</v>
      </c>
      <c r="V241" s="54"/>
    </row>
    <row r="242" spans="4:22" x14ac:dyDescent="0.3">
      <c r="D242" s="50" t="s">
        <v>209</v>
      </c>
      <c r="E242" s="51"/>
      <c r="F242" s="51">
        <v>9</v>
      </c>
      <c r="G242" s="51"/>
      <c r="H242" s="51"/>
      <c r="I242" s="51"/>
      <c r="J242" s="51"/>
      <c r="K242" s="51"/>
      <c r="L242" s="51"/>
      <c r="M242" s="51"/>
      <c r="N242" s="51"/>
      <c r="O242" s="51"/>
      <c r="P242" s="81"/>
      <c r="Q242" s="57">
        <f>SUM(Table9[[#This Row],[1]:[12]])</f>
        <v>9</v>
      </c>
      <c r="R242" s="52">
        <f t="shared" si="8"/>
        <v>1</v>
      </c>
      <c r="S242" s="19" t="s">
        <v>101</v>
      </c>
      <c r="T242" s="61" t="str">
        <f>IF(Table9[[#This Row],[Observed? Y or N]]="N", "-20", "0")</f>
        <v>-20</v>
      </c>
      <c r="U242" s="49">
        <f>Table9[[#This Row],[Total]]+Table9[[#This Row],[Penalty Applied]]</f>
        <v>-11</v>
      </c>
      <c r="V242" s="54"/>
    </row>
    <row r="243" spans="4:22" ht="15" thickBot="1" x14ac:dyDescent="0.35">
      <c r="D243" s="50" t="s">
        <v>186</v>
      </c>
      <c r="E243" s="51"/>
      <c r="F243" s="51"/>
      <c r="G243" s="51"/>
      <c r="H243" s="51"/>
      <c r="I243" s="51"/>
      <c r="J243" s="51"/>
      <c r="K243" s="51">
        <v>8</v>
      </c>
      <c r="L243" s="51"/>
      <c r="M243" s="51"/>
      <c r="N243" s="51"/>
      <c r="O243" s="51"/>
      <c r="P243" s="50"/>
      <c r="Q243" s="57">
        <f>SUM(Table9[[#This Row],[1]:[12]])</f>
        <v>8</v>
      </c>
      <c r="R243" s="52">
        <f t="shared" si="8"/>
        <v>1</v>
      </c>
      <c r="S243" s="19" t="s">
        <v>101</v>
      </c>
      <c r="T243" s="61" t="str">
        <f>IF(Table9[[#This Row],[Observed? Y or N]]="N", "-20", "0")</f>
        <v>-20</v>
      </c>
      <c r="U243" s="49">
        <f>Table9[[#This Row],[Total]]+Table9[[#This Row],[Penalty Applied]]</f>
        <v>-12</v>
      </c>
      <c r="V243" s="56"/>
    </row>
    <row r="244" spans="4:22" x14ac:dyDescent="0.3">
      <c r="D244" s="19"/>
      <c r="P244" s="19"/>
      <c r="Q244" s="20"/>
    </row>
    <row r="245" spans="4:22" x14ac:dyDescent="0.3">
      <c r="D245" s="19"/>
      <c r="P245" s="19"/>
      <c r="Q245" s="20"/>
    </row>
    <row r="246" spans="4:22" ht="15" thickBot="1" x14ac:dyDescent="0.35"/>
    <row r="247" spans="4:22" ht="153" thickBot="1" x14ac:dyDescent="0.35">
      <c r="D247" s="47" t="s">
        <v>41</v>
      </c>
      <c r="E247" s="48" t="s">
        <v>120</v>
      </c>
      <c r="F247" s="48" t="s">
        <v>121</v>
      </c>
      <c r="G247" s="48" t="s">
        <v>122</v>
      </c>
      <c r="H247" s="48" t="s">
        <v>123</v>
      </c>
      <c r="I247" s="48" t="s">
        <v>124</v>
      </c>
      <c r="J247" s="48" t="s">
        <v>125</v>
      </c>
      <c r="K247" s="48" t="s">
        <v>126</v>
      </c>
      <c r="L247" s="48" t="s">
        <v>127</v>
      </c>
      <c r="M247" s="48" t="s">
        <v>128</v>
      </c>
      <c r="N247" s="48" t="s">
        <v>129</v>
      </c>
      <c r="O247" s="48" t="s">
        <v>130</v>
      </c>
      <c r="P247" s="48" t="s">
        <v>131</v>
      </c>
      <c r="Q247" s="13" t="s">
        <v>34</v>
      </c>
      <c r="R247" s="13" t="s">
        <v>45</v>
      </c>
      <c r="S247" s="109" t="s">
        <v>99</v>
      </c>
      <c r="T247" s="13" t="s">
        <v>103</v>
      </c>
      <c r="U247" s="43" t="s">
        <v>100</v>
      </c>
      <c r="V247" s="43" t="s">
        <v>15</v>
      </c>
    </row>
    <row r="248" spans="4:22" x14ac:dyDescent="0.3">
      <c r="D248" s="19" t="s">
        <v>158</v>
      </c>
      <c r="E248" s="20"/>
      <c r="H248">
        <v>17</v>
      </c>
      <c r="I248">
        <v>20</v>
      </c>
      <c r="J248">
        <v>17</v>
      </c>
      <c r="L248">
        <v>15</v>
      </c>
      <c r="M248">
        <v>20</v>
      </c>
      <c r="N248">
        <v>20</v>
      </c>
      <c r="O248">
        <v>20</v>
      </c>
      <c r="P248" s="19">
        <v>17</v>
      </c>
      <c r="Q248" s="2">
        <f>SUM(Table10[[#This Row],[1]:[12]])</f>
        <v>146</v>
      </c>
      <c r="R248" s="2">
        <f>COUNTIF(E248:P248,"&gt;1")</f>
        <v>8</v>
      </c>
      <c r="S248" s="2"/>
      <c r="T248" s="2"/>
      <c r="U248">
        <f>Table10[[#This Row],[Total]]</f>
        <v>146</v>
      </c>
      <c r="V248" s="2" t="s">
        <v>0</v>
      </c>
    </row>
    <row r="249" spans="4:22" x14ac:dyDescent="0.3">
      <c r="D249" s="19" t="s">
        <v>157</v>
      </c>
      <c r="E249" s="20">
        <v>20</v>
      </c>
      <c r="F249">
        <v>20</v>
      </c>
      <c r="H249">
        <v>20</v>
      </c>
      <c r="I249">
        <v>17</v>
      </c>
      <c r="J249">
        <v>15</v>
      </c>
      <c r="M249">
        <v>15</v>
      </c>
      <c r="N249">
        <v>15</v>
      </c>
      <c r="O249">
        <v>15</v>
      </c>
      <c r="P249" s="19">
        <v>15</v>
      </c>
      <c r="Q249" s="3">
        <f>SUM(Table10[[#This Row],[1]:[12]])</f>
        <v>152</v>
      </c>
      <c r="R249" s="3">
        <f>COUNTIF(E249:P249,"&gt;1")</f>
        <v>9</v>
      </c>
      <c r="S249" s="3"/>
      <c r="T249" s="3"/>
      <c r="U249">
        <f>152-15</f>
        <v>137</v>
      </c>
      <c r="V249" s="3" t="s">
        <v>1</v>
      </c>
    </row>
    <row r="250" spans="4:22" x14ac:dyDescent="0.3">
      <c r="D250" s="19" t="s">
        <v>166</v>
      </c>
      <c r="E250" s="20"/>
      <c r="I250">
        <v>15</v>
      </c>
      <c r="J250">
        <v>20</v>
      </c>
      <c r="L250">
        <v>20</v>
      </c>
      <c r="M250">
        <v>17</v>
      </c>
      <c r="O250">
        <v>17</v>
      </c>
      <c r="P250" s="19">
        <v>20</v>
      </c>
      <c r="Q250" s="3">
        <f>SUM(Table10[[#This Row],[1]:[12]])</f>
        <v>109</v>
      </c>
      <c r="R250" s="3">
        <f>COUNTIF(E250:P250,"&gt;1")</f>
        <v>6</v>
      </c>
      <c r="S250" s="3"/>
      <c r="T250" s="3"/>
      <c r="U250">
        <f>Table10[[#This Row],[Total]]</f>
        <v>109</v>
      </c>
      <c r="V250" s="3" t="s">
        <v>2</v>
      </c>
    </row>
    <row r="251" spans="4:22" x14ac:dyDescent="0.3">
      <c r="D251" s="64" t="s">
        <v>250</v>
      </c>
      <c r="E251" s="100"/>
      <c r="F251" s="65"/>
      <c r="G251" s="65"/>
      <c r="H251" s="65"/>
      <c r="I251" s="65"/>
      <c r="J251" s="65"/>
      <c r="K251" s="65"/>
      <c r="L251" s="65"/>
      <c r="M251" s="65"/>
      <c r="N251" s="65">
        <v>17</v>
      </c>
      <c r="O251" s="65"/>
      <c r="P251" s="64"/>
      <c r="Q251" s="63">
        <f>SUM(Table10[[#This Row],[1]:[12]])</f>
        <v>17</v>
      </c>
      <c r="R251" s="63">
        <f>COUNTIF(E251:P251,"&gt;1")</f>
        <v>1</v>
      </c>
      <c r="S251" s="78"/>
      <c r="T251" s="78"/>
      <c r="U251" s="77">
        <f>Table10[[#This Row],[Total]]</f>
        <v>17</v>
      </c>
      <c r="V251" s="78"/>
    </row>
    <row r="252" spans="4:22" ht="15" thickBot="1" x14ac:dyDescent="0.35">
      <c r="D252" s="19" t="s">
        <v>234</v>
      </c>
      <c r="E252" s="20"/>
      <c r="L252">
        <v>17</v>
      </c>
      <c r="P252" s="19"/>
      <c r="Q252" s="3">
        <f>SUM(Table10[[#This Row],[1]:[12]])</f>
        <v>17</v>
      </c>
      <c r="R252" s="3">
        <f>COUNTIF(E252:P252,"&gt;1")</f>
        <v>1</v>
      </c>
      <c r="S252" s="3"/>
      <c r="T252" s="3"/>
      <c r="U252">
        <f>Table10[[#This Row],[Total]]</f>
        <v>17</v>
      </c>
      <c r="V252" s="4"/>
    </row>
    <row r="253" spans="4:22" ht="15" thickBot="1" x14ac:dyDescent="0.35"/>
    <row r="254" spans="4:22" ht="147" thickBot="1" x14ac:dyDescent="0.35">
      <c r="D254" s="23" t="s">
        <v>55</v>
      </c>
      <c r="E254" s="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7"/>
      <c r="Q254" s="8">
        <f>SUM(Table103[[#This Row],[Column2]:[Column13]])</f>
        <v>0</v>
      </c>
      <c r="R254" s="13" t="s">
        <v>45</v>
      </c>
      <c r="S254" s="15" t="s">
        <v>99</v>
      </c>
      <c r="T254" s="13" t="s">
        <v>103</v>
      </c>
      <c r="U254" s="43" t="s">
        <v>100</v>
      </c>
      <c r="V254" s="43" t="s">
        <v>15</v>
      </c>
    </row>
    <row r="255" spans="4:22" x14ac:dyDescent="0.3">
      <c r="D255" s="19"/>
      <c r="E255" s="20"/>
      <c r="P255" s="19"/>
      <c r="Q255" s="2">
        <f>SUM(Table103[[#This Row],[Column2]:[Column13]])</f>
        <v>0</v>
      </c>
      <c r="R255" s="2">
        <f t="shared" ref="R255:R258" si="9">COUNTIF(E255:P255,"&gt;1")</f>
        <v>0</v>
      </c>
      <c r="S255" s="2"/>
      <c r="T255" s="2"/>
      <c r="U255">
        <f>Table103[[#This Row],[Column14]]</f>
        <v>0</v>
      </c>
      <c r="V255" s="2" t="s">
        <v>0</v>
      </c>
    </row>
    <row r="256" spans="4:22" x14ac:dyDescent="0.3">
      <c r="D256" s="19"/>
      <c r="E256" s="20"/>
      <c r="P256" s="19"/>
      <c r="Q256" s="3">
        <f>SUM(Table103[[#This Row],[Column2]:[Column13]])</f>
        <v>0</v>
      </c>
      <c r="R256" s="3">
        <f t="shared" si="9"/>
        <v>0</v>
      </c>
      <c r="S256" s="3"/>
      <c r="T256" s="3"/>
      <c r="V256" s="3"/>
    </row>
    <row r="257" spans="4:22" x14ac:dyDescent="0.3">
      <c r="D257" s="19"/>
      <c r="E257" s="20"/>
      <c r="P257" s="19"/>
      <c r="Q257" s="3">
        <f>SUM(Table103[[#This Row],[Column2]:[Column13]])</f>
        <v>0</v>
      </c>
      <c r="R257" s="3">
        <f t="shared" si="9"/>
        <v>0</v>
      </c>
      <c r="S257" s="3"/>
      <c r="T257" s="3"/>
      <c r="V257" s="3"/>
    </row>
    <row r="258" spans="4:22" ht="15" thickBot="1" x14ac:dyDescent="0.35">
      <c r="D258" s="19"/>
      <c r="E258" s="20"/>
      <c r="P258" s="19"/>
      <c r="Q258" s="3">
        <f>SUM(Table103[[#This Row],[Column2]:[Column13]])</f>
        <v>0</v>
      </c>
      <c r="R258" s="3">
        <f t="shared" si="9"/>
        <v>0</v>
      </c>
      <c r="S258" s="3"/>
      <c r="T258" s="3"/>
      <c r="V258" s="4"/>
    </row>
    <row r="260" spans="4:22" ht="15" thickBot="1" x14ac:dyDescent="0.35"/>
    <row r="261" spans="4:22" ht="153" thickBot="1" x14ac:dyDescent="0.35">
      <c r="D261" s="47" t="s">
        <v>48</v>
      </c>
      <c r="E261" s="46" t="s">
        <v>120</v>
      </c>
      <c r="F261" s="46" t="s">
        <v>121</v>
      </c>
      <c r="G261" s="46" t="s">
        <v>122</v>
      </c>
      <c r="H261" s="46" t="s">
        <v>123</v>
      </c>
      <c r="I261" s="46" t="s">
        <v>124</v>
      </c>
      <c r="J261" s="46" t="s">
        <v>125</v>
      </c>
      <c r="K261" s="46" t="s">
        <v>126</v>
      </c>
      <c r="L261" s="46" t="s">
        <v>127</v>
      </c>
      <c r="M261" s="46" t="s">
        <v>128</v>
      </c>
      <c r="N261" s="46" t="s">
        <v>129</v>
      </c>
      <c r="O261" s="46" t="s">
        <v>130</v>
      </c>
      <c r="P261" s="46" t="s">
        <v>131</v>
      </c>
      <c r="Q261" s="13" t="s">
        <v>34</v>
      </c>
      <c r="R261" s="13" t="s">
        <v>45</v>
      </c>
      <c r="S261" s="15" t="s">
        <v>99</v>
      </c>
      <c r="T261" s="13" t="s">
        <v>103</v>
      </c>
      <c r="U261" s="43" t="s">
        <v>100</v>
      </c>
      <c r="V261" s="43" t="s">
        <v>15</v>
      </c>
    </row>
    <row r="262" spans="4:22" x14ac:dyDescent="0.3">
      <c r="D262" s="19"/>
      <c r="Q262" s="24"/>
      <c r="R262" s="2">
        <f>COUNTIF(E262:P262,"&gt;1")</f>
        <v>0</v>
      </c>
      <c r="S262" s="22"/>
      <c r="T262" s="2"/>
      <c r="U262">
        <f>Table11[[#This Row],[Total]]</f>
        <v>0</v>
      </c>
      <c r="V262" s="2"/>
    </row>
    <row r="263" spans="4:22" x14ac:dyDescent="0.3">
      <c r="D263" s="19"/>
      <c r="Q263" s="20"/>
      <c r="R263" s="3">
        <f>COUNTIF(E263:P263,"&gt;1")</f>
        <v>0</v>
      </c>
      <c r="S263" s="19"/>
      <c r="T263" s="3"/>
      <c r="U263">
        <f>Table11[[#This Row],[Total]]</f>
        <v>0</v>
      </c>
      <c r="V263" s="3"/>
    </row>
    <row r="264" spans="4:22" x14ac:dyDescent="0.3">
      <c r="D264" s="19"/>
      <c r="Q264" s="20"/>
      <c r="R264" s="3">
        <f>COUNTIF(E264:P264,"&gt;1")</f>
        <v>0</v>
      </c>
      <c r="S264" s="19"/>
      <c r="T264" s="3"/>
      <c r="U264">
        <f>Table11[[#This Row],[Total]]</f>
        <v>0</v>
      </c>
      <c r="V264" s="3"/>
    </row>
    <row r="265" spans="4:22" ht="15" thickBot="1" x14ac:dyDescent="0.35">
      <c r="D265" s="19"/>
      <c r="Q265" s="20"/>
      <c r="R265" s="3">
        <f>COUNTIF(E265:P265,"&gt;1")</f>
        <v>0</v>
      </c>
      <c r="S265" s="19"/>
      <c r="T265" s="3"/>
      <c r="U265">
        <f>Table11[[#This Row],[Total]]</f>
        <v>0</v>
      </c>
      <c r="V265" s="4"/>
    </row>
    <row r="267" spans="4:22" ht="15" thickBot="1" x14ac:dyDescent="0.35">
      <c r="M267" s="65"/>
    </row>
    <row r="268" spans="4:22" ht="15" thickBot="1" x14ac:dyDescent="0.35">
      <c r="D268" s="23" t="s">
        <v>52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8"/>
    </row>
    <row r="269" spans="4:22" x14ac:dyDescent="0.3">
      <c r="D269" s="19"/>
      <c r="Q269" s="20">
        <f>SUM(E269:P269)</f>
        <v>0</v>
      </c>
      <c r="R269" s="2">
        <f>COUNTIF(E269:P269,"&gt;1")</f>
        <v>0</v>
      </c>
      <c r="S269" s="22"/>
      <c r="T269" s="2"/>
    </row>
    <row r="271" spans="4:22" ht="15" thickBot="1" x14ac:dyDescent="0.35"/>
    <row r="272" spans="4:22" ht="153" thickBot="1" x14ac:dyDescent="0.35">
      <c r="D272" s="47" t="s">
        <v>42</v>
      </c>
      <c r="E272" s="48" t="s">
        <v>120</v>
      </c>
      <c r="F272" s="48" t="s">
        <v>121</v>
      </c>
      <c r="G272" s="48" t="s">
        <v>122</v>
      </c>
      <c r="H272" s="48" t="s">
        <v>123</v>
      </c>
      <c r="I272" s="48" t="s">
        <v>124</v>
      </c>
      <c r="J272" s="48" t="s">
        <v>125</v>
      </c>
      <c r="K272" s="48" t="s">
        <v>126</v>
      </c>
      <c r="L272" s="48" t="s">
        <v>127</v>
      </c>
      <c r="M272" s="48" t="s">
        <v>128</v>
      </c>
      <c r="N272" s="48" t="s">
        <v>129</v>
      </c>
      <c r="O272" s="48" t="s">
        <v>130</v>
      </c>
      <c r="P272" s="48" t="s">
        <v>131</v>
      </c>
      <c r="Q272" s="13" t="s">
        <v>34</v>
      </c>
      <c r="R272" s="13" t="s">
        <v>45</v>
      </c>
      <c r="S272" s="109" t="s">
        <v>99</v>
      </c>
      <c r="T272" s="13" t="s">
        <v>103</v>
      </c>
      <c r="U272" s="43" t="s">
        <v>100</v>
      </c>
      <c r="V272" s="43" t="s">
        <v>15</v>
      </c>
    </row>
    <row r="273" spans="4:22" x14ac:dyDescent="0.3">
      <c r="D273" s="19" t="s">
        <v>159</v>
      </c>
      <c r="E273" s="20"/>
      <c r="H273">
        <v>17</v>
      </c>
      <c r="I273">
        <v>13</v>
      </c>
      <c r="K273">
        <v>20</v>
      </c>
      <c r="O273">
        <v>17</v>
      </c>
      <c r="P273" s="19"/>
      <c r="Q273" s="20">
        <f>SUM(E273:P273)</f>
        <v>67</v>
      </c>
      <c r="R273" s="3">
        <f t="shared" ref="R273:R288" si="10">COUNTIF(E273:P273,"&gt;1")</f>
        <v>4</v>
      </c>
      <c r="S273" s="22"/>
      <c r="T273" s="2"/>
      <c r="U273">
        <f>Table13[[#This Row],[Total]]</f>
        <v>67</v>
      </c>
      <c r="V273" s="2" t="s">
        <v>0</v>
      </c>
    </row>
    <row r="274" spans="4:22" x14ac:dyDescent="0.3">
      <c r="D274" s="19" t="s">
        <v>113</v>
      </c>
      <c r="E274" s="20"/>
      <c r="H274">
        <v>11</v>
      </c>
      <c r="J274">
        <v>17</v>
      </c>
      <c r="M274">
        <v>17</v>
      </c>
      <c r="O274">
        <v>13</v>
      </c>
      <c r="P274" s="19"/>
      <c r="Q274" s="20">
        <f>SUM(E274:P274)</f>
        <v>58</v>
      </c>
      <c r="R274" s="3">
        <f t="shared" si="10"/>
        <v>4</v>
      </c>
      <c r="S274" s="19"/>
      <c r="T274" s="3"/>
      <c r="U274">
        <f>Table13[[#This Row],[Total]]</f>
        <v>58</v>
      </c>
      <c r="V274" s="3" t="s">
        <v>1</v>
      </c>
    </row>
    <row r="275" spans="4:22" x14ac:dyDescent="0.3">
      <c r="D275" s="19" t="s">
        <v>162</v>
      </c>
      <c r="E275" s="20"/>
      <c r="H275">
        <v>10</v>
      </c>
      <c r="L275">
        <v>17</v>
      </c>
      <c r="N275">
        <v>20</v>
      </c>
      <c r="P275" s="19"/>
      <c r="Q275" s="20">
        <f>SUM(E275:P275)</f>
        <v>47</v>
      </c>
      <c r="R275" s="3">
        <f t="shared" si="10"/>
        <v>3</v>
      </c>
      <c r="S275" s="19"/>
      <c r="T275" s="3"/>
      <c r="U275">
        <f>Table13[[#This Row],[Total]]</f>
        <v>47</v>
      </c>
      <c r="V275" s="3" t="s">
        <v>2</v>
      </c>
    </row>
    <row r="276" spans="4:22" x14ac:dyDescent="0.3">
      <c r="D276" s="19" t="s">
        <v>139</v>
      </c>
      <c r="E276" s="20"/>
      <c r="H276">
        <v>20</v>
      </c>
      <c r="J276">
        <v>20</v>
      </c>
      <c r="P276" s="19"/>
      <c r="Q276" s="20">
        <f>SUM(Table13[[#This Row],[1]:[12]])</f>
        <v>40</v>
      </c>
      <c r="R276" s="3">
        <f t="shared" si="10"/>
        <v>2</v>
      </c>
      <c r="S276" s="19"/>
      <c r="T276" s="3"/>
      <c r="U276">
        <f>Table13[[#This Row],[Total]]</f>
        <v>40</v>
      </c>
      <c r="V276" s="3"/>
    </row>
    <row r="277" spans="4:22" x14ac:dyDescent="0.3">
      <c r="D277" s="19" t="s">
        <v>169</v>
      </c>
      <c r="E277" s="20"/>
      <c r="I277">
        <v>20</v>
      </c>
      <c r="L277">
        <v>20</v>
      </c>
      <c r="P277" s="19"/>
      <c r="Q277" s="20">
        <f>SUM(E277:P277)</f>
        <v>40</v>
      </c>
      <c r="R277" s="3">
        <f t="shared" si="10"/>
        <v>2</v>
      </c>
      <c r="S277" s="19"/>
      <c r="T277" s="3"/>
      <c r="U277">
        <f>Table13[[#This Row],[Total]]</f>
        <v>40</v>
      </c>
      <c r="V277" s="3"/>
    </row>
    <row r="278" spans="4:22" x14ac:dyDescent="0.3">
      <c r="D278" s="19" t="s">
        <v>170</v>
      </c>
      <c r="E278" s="20"/>
      <c r="F278">
        <v>20</v>
      </c>
      <c r="I278">
        <v>17</v>
      </c>
      <c r="P278" s="19"/>
      <c r="Q278" s="20">
        <f>SUM(E278:P278)</f>
        <v>37</v>
      </c>
      <c r="R278" s="3">
        <f t="shared" si="10"/>
        <v>2</v>
      </c>
      <c r="S278" s="19"/>
      <c r="T278" s="3"/>
      <c r="U278">
        <f>Table13[[#This Row],[Total]]</f>
        <v>37</v>
      </c>
      <c r="V278" s="3"/>
    </row>
    <row r="279" spans="4:22" x14ac:dyDescent="0.3">
      <c r="D279" s="19" t="s">
        <v>95</v>
      </c>
      <c r="E279" s="20"/>
      <c r="F279">
        <v>13</v>
      </c>
      <c r="M279">
        <v>20</v>
      </c>
      <c r="P279" s="19"/>
      <c r="Q279" s="20">
        <f>SUM(E279:P279)</f>
        <v>33</v>
      </c>
      <c r="R279" s="3">
        <f t="shared" si="10"/>
        <v>2</v>
      </c>
      <c r="S279" s="19"/>
      <c r="T279" s="3"/>
      <c r="U279">
        <f>Table13[[#This Row],[Total]]</f>
        <v>33</v>
      </c>
      <c r="V279" s="3"/>
    </row>
    <row r="280" spans="4:22" x14ac:dyDescent="0.3">
      <c r="D280" s="19" t="s">
        <v>94</v>
      </c>
      <c r="E280" s="20"/>
      <c r="F280">
        <v>17</v>
      </c>
      <c r="I280">
        <v>15</v>
      </c>
      <c r="P280" s="19"/>
      <c r="Q280" s="20">
        <f>SUM(Table13[[#This Row],[1]:[12]])</f>
        <v>32</v>
      </c>
      <c r="R280" s="3">
        <f t="shared" si="10"/>
        <v>2</v>
      </c>
      <c r="S280" s="19"/>
      <c r="T280" s="3"/>
      <c r="U280">
        <f>Table13[[#This Row],[Total]]</f>
        <v>32</v>
      </c>
      <c r="V280" s="3"/>
    </row>
    <row r="281" spans="4:22" x14ac:dyDescent="0.3">
      <c r="D281" s="19" t="s">
        <v>230</v>
      </c>
      <c r="E281" s="20"/>
      <c r="L281">
        <v>11</v>
      </c>
      <c r="O281">
        <v>15</v>
      </c>
      <c r="P281" s="19"/>
      <c r="Q281" s="20">
        <f t="shared" ref="Q281:Q288" si="11">SUM(E281:P281)</f>
        <v>26</v>
      </c>
      <c r="R281" s="3">
        <f t="shared" si="10"/>
        <v>2</v>
      </c>
      <c r="S281" s="19"/>
      <c r="T281" s="3"/>
      <c r="U281">
        <f>Table13[[#This Row],[Total]]</f>
        <v>26</v>
      </c>
      <c r="V281" s="3"/>
    </row>
    <row r="282" spans="4:22" x14ac:dyDescent="0.3">
      <c r="D282" s="19" t="s">
        <v>198</v>
      </c>
      <c r="E282" s="20">
        <v>20</v>
      </c>
      <c r="P282" s="19"/>
      <c r="Q282" s="20">
        <f t="shared" si="11"/>
        <v>20</v>
      </c>
      <c r="R282" s="3">
        <f t="shared" si="10"/>
        <v>1</v>
      </c>
      <c r="S282" s="19"/>
      <c r="T282" s="3"/>
      <c r="U282">
        <f>Table13[[#This Row],[Total]]</f>
        <v>20</v>
      </c>
      <c r="V282" s="3"/>
    </row>
    <row r="283" spans="4:22" x14ac:dyDescent="0.3">
      <c r="D283" s="19" t="s">
        <v>266</v>
      </c>
      <c r="E283" s="100"/>
      <c r="F283" s="65"/>
      <c r="G283" s="65"/>
      <c r="H283" s="65"/>
      <c r="I283" s="65"/>
      <c r="J283" s="65"/>
      <c r="K283" s="65"/>
      <c r="L283" s="65"/>
      <c r="M283" s="65"/>
      <c r="N283" s="65"/>
      <c r="O283" s="65">
        <v>20</v>
      </c>
      <c r="P283" s="64"/>
      <c r="Q283" s="101">
        <f t="shared" si="11"/>
        <v>20</v>
      </c>
      <c r="R283" s="3">
        <f t="shared" si="10"/>
        <v>1</v>
      </c>
      <c r="S283" s="102">
        <f>Table13[[#This Row],[Total]]</f>
        <v>20</v>
      </c>
      <c r="T283" s="3"/>
      <c r="U283" s="67">
        <f>Table13[[#This Row],[Total]]</f>
        <v>20</v>
      </c>
      <c r="V283" s="3"/>
    </row>
    <row r="284" spans="4:22" x14ac:dyDescent="0.3">
      <c r="D284" s="19" t="s">
        <v>160</v>
      </c>
      <c r="E284" s="20"/>
      <c r="H284">
        <v>15</v>
      </c>
      <c r="P284" s="19"/>
      <c r="Q284" s="20">
        <f t="shared" si="11"/>
        <v>15</v>
      </c>
      <c r="R284" s="3">
        <f t="shared" si="10"/>
        <v>1</v>
      </c>
      <c r="S284" s="19"/>
      <c r="T284" s="3"/>
      <c r="U284">
        <f>Table13[[#This Row],[Total]]</f>
        <v>15</v>
      </c>
      <c r="V284" s="3"/>
    </row>
    <row r="285" spans="4:22" x14ac:dyDescent="0.3">
      <c r="D285" s="19" t="s">
        <v>93</v>
      </c>
      <c r="E285" s="20"/>
      <c r="F285">
        <v>15</v>
      </c>
      <c r="P285" s="19"/>
      <c r="Q285" s="20">
        <f t="shared" si="11"/>
        <v>15</v>
      </c>
      <c r="R285" s="3">
        <f t="shared" si="10"/>
        <v>1</v>
      </c>
      <c r="S285" s="19"/>
      <c r="T285" s="3"/>
      <c r="U285">
        <f>Table13[[#This Row],[Total]]</f>
        <v>15</v>
      </c>
      <c r="V285" s="3"/>
    </row>
    <row r="286" spans="4:22" x14ac:dyDescent="0.3">
      <c r="D286" s="19" t="s">
        <v>76</v>
      </c>
      <c r="E286" s="20"/>
      <c r="L286">
        <v>15</v>
      </c>
      <c r="P286" s="19"/>
      <c r="Q286" s="20">
        <f t="shared" si="11"/>
        <v>15</v>
      </c>
      <c r="R286" s="3">
        <f t="shared" si="10"/>
        <v>1</v>
      </c>
      <c r="S286" s="19"/>
      <c r="T286" s="3"/>
      <c r="U286">
        <f>Table13[[#This Row],[Total]]</f>
        <v>15</v>
      </c>
      <c r="V286" s="3"/>
    </row>
    <row r="287" spans="4:22" ht="15" thickBot="1" x14ac:dyDescent="0.35">
      <c r="D287" s="19" t="s">
        <v>161</v>
      </c>
      <c r="E287" s="20"/>
      <c r="H287">
        <v>13</v>
      </c>
      <c r="P287" s="19"/>
      <c r="Q287" s="20">
        <f t="shared" si="11"/>
        <v>13</v>
      </c>
      <c r="R287" s="3">
        <f t="shared" si="10"/>
        <v>1</v>
      </c>
      <c r="S287" s="19"/>
      <c r="T287" s="3"/>
      <c r="U287">
        <f>Table13[[#This Row],[Total]]</f>
        <v>13</v>
      </c>
      <c r="V287" s="3"/>
    </row>
    <row r="288" spans="4:22" ht="15" thickBot="1" x14ac:dyDescent="0.35">
      <c r="D288" s="19" t="s">
        <v>229</v>
      </c>
      <c r="E288" s="20"/>
      <c r="L288">
        <v>13</v>
      </c>
      <c r="P288" s="19"/>
      <c r="Q288" s="20">
        <f t="shared" si="11"/>
        <v>13</v>
      </c>
      <c r="R288" s="3">
        <f t="shared" si="10"/>
        <v>1</v>
      </c>
      <c r="S288" s="19"/>
      <c r="T288" s="2"/>
      <c r="U288">
        <f>Table13[[#This Row],[Total]]</f>
        <v>13</v>
      </c>
      <c r="V288" s="4"/>
    </row>
    <row r="289" spans="4:22" ht="15" thickBot="1" x14ac:dyDescent="0.35"/>
    <row r="290" spans="4:22" ht="153" thickBot="1" x14ac:dyDescent="0.35">
      <c r="D290" s="47" t="s">
        <v>43</v>
      </c>
      <c r="E290" s="46" t="s">
        <v>120</v>
      </c>
      <c r="F290" s="46" t="s">
        <v>121</v>
      </c>
      <c r="G290" s="46" t="s">
        <v>122</v>
      </c>
      <c r="H290" s="46" t="s">
        <v>123</v>
      </c>
      <c r="I290" s="46" t="s">
        <v>124</v>
      </c>
      <c r="J290" s="46" t="s">
        <v>125</v>
      </c>
      <c r="K290" s="46" t="s">
        <v>126</v>
      </c>
      <c r="L290" s="46" t="s">
        <v>127</v>
      </c>
      <c r="M290" s="46" t="s">
        <v>128</v>
      </c>
      <c r="N290" s="46" t="s">
        <v>129</v>
      </c>
      <c r="O290" s="46" t="s">
        <v>130</v>
      </c>
      <c r="P290" s="46" t="s">
        <v>131</v>
      </c>
      <c r="Q290" s="13" t="s">
        <v>34</v>
      </c>
      <c r="R290" s="13" t="s">
        <v>45</v>
      </c>
      <c r="S290" s="109" t="s">
        <v>99</v>
      </c>
      <c r="T290" s="13" t="s">
        <v>103</v>
      </c>
      <c r="U290" s="43" t="s">
        <v>100</v>
      </c>
      <c r="V290" s="43" t="s">
        <v>15</v>
      </c>
    </row>
    <row r="291" spans="4:22" x14ac:dyDescent="0.3">
      <c r="D291" s="19" t="s">
        <v>156</v>
      </c>
      <c r="F291">
        <v>15</v>
      </c>
      <c r="H291">
        <v>20</v>
      </c>
      <c r="J291">
        <v>17</v>
      </c>
      <c r="M291">
        <v>20</v>
      </c>
      <c r="O291">
        <v>17</v>
      </c>
      <c r="P291" s="19"/>
      <c r="Q291" s="3">
        <f>SUM(Table14[[#This Row],[1]:[12]])</f>
        <v>89</v>
      </c>
      <c r="R291" s="2">
        <f t="shared" ref="R291:R309" si="12">COUNTIF(E291:P291,"&gt;1")</f>
        <v>5</v>
      </c>
      <c r="S291" s="2"/>
      <c r="T291" s="2"/>
      <c r="U291">
        <f>Table14[[#This Row],[Total]]</f>
        <v>89</v>
      </c>
      <c r="V291" s="2" t="s">
        <v>0</v>
      </c>
    </row>
    <row r="292" spans="4:22" x14ac:dyDescent="0.3">
      <c r="D292" s="19" t="s">
        <v>94</v>
      </c>
      <c r="J292">
        <v>15</v>
      </c>
      <c r="M292">
        <v>17</v>
      </c>
      <c r="O292">
        <v>13</v>
      </c>
      <c r="P292" s="19"/>
      <c r="Q292" s="3">
        <f>SUM(Table14[[#This Row],[1]:[12]])</f>
        <v>45</v>
      </c>
      <c r="R292" s="3">
        <f t="shared" si="12"/>
        <v>3</v>
      </c>
      <c r="S292" s="3"/>
      <c r="T292" s="3"/>
      <c r="U292">
        <f>Table14[[#This Row],[Total]]</f>
        <v>45</v>
      </c>
      <c r="V292" s="3" t="s">
        <v>1</v>
      </c>
    </row>
    <row r="293" spans="4:22" x14ac:dyDescent="0.3">
      <c r="D293" s="19" t="s">
        <v>177</v>
      </c>
      <c r="E293" s="65"/>
      <c r="F293" s="65"/>
      <c r="G293" s="65"/>
      <c r="H293" s="65"/>
      <c r="I293" s="65"/>
      <c r="J293" s="65">
        <v>13</v>
      </c>
      <c r="K293" s="65">
        <v>17</v>
      </c>
      <c r="L293" s="65"/>
      <c r="M293" s="65"/>
      <c r="N293" s="65"/>
      <c r="O293" s="65">
        <v>11</v>
      </c>
      <c r="P293" s="64"/>
      <c r="Q293" s="63">
        <f>SUM(Table14[[#This Row],[1]:[12]])</f>
        <v>41</v>
      </c>
      <c r="R293" s="68">
        <f t="shared" si="12"/>
        <v>3</v>
      </c>
      <c r="S293" s="3"/>
      <c r="T293" s="3"/>
      <c r="U293" s="67">
        <f>Table14[[#This Row],[Total]]</f>
        <v>41</v>
      </c>
      <c r="V293" s="3" t="s">
        <v>2</v>
      </c>
    </row>
    <row r="294" spans="4:22" x14ac:dyDescent="0.3">
      <c r="D294" s="19" t="s">
        <v>76</v>
      </c>
      <c r="F294">
        <v>17</v>
      </c>
      <c r="I294">
        <v>17</v>
      </c>
      <c r="P294" s="19"/>
      <c r="Q294" s="3">
        <f>SUM(Table14[[#This Row],[1]:[12]])</f>
        <v>34</v>
      </c>
      <c r="R294" s="3">
        <f t="shared" si="12"/>
        <v>2</v>
      </c>
      <c r="S294" s="3"/>
      <c r="T294" s="3"/>
      <c r="U294">
        <f>Table14[[#This Row],[Total]]</f>
        <v>34</v>
      </c>
      <c r="V294" s="3"/>
    </row>
    <row r="295" spans="4:22" x14ac:dyDescent="0.3">
      <c r="D295" s="19" t="s">
        <v>162</v>
      </c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>
        <v>20</v>
      </c>
      <c r="P295" s="64"/>
      <c r="Q295" s="63">
        <f>SUM(Table14[[#This Row],[1]:[12]])</f>
        <v>20</v>
      </c>
      <c r="R295" s="68">
        <f t="shared" si="12"/>
        <v>1</v>
      </c>
      <c r="S295" s="3"/>
      <c r="T295" s="3"/>
      <c r="U295" s="67">
        <f>Table14[[#This Row],[Total]]</f>
        <v>20</v>
      </c>
      <c r="V295" s="3"/>
    </row>
    <row r="296" spans="4:22" x14ac:dyDescent="0.3">
      <c r="D296" s="19" t="s">
        <v>113</v>
      </c>
      <c r="E296" s="65"/>
      <c r="F296" s="65">
        <v>20</v>
      </c>
      <c r="G296" s="65"/>
      <c r="H296" s="65"/>
      <c r="I296" s="65"/>
      <c r="J296" s="65"/>
      <c r="K296" s="65"/>
      <c r="L296" s="65"/>
      <c r="M296" s="65"/>
      <c r="N296" s="65"/>
      <c r="O296" s="65"/>
      <c r="P296" s="64"/>
      <c r="Q296" s="63">
        <f>SUM(Table14[[#This Row],[1]:[12]])</f>
        <v>20</v>
      </c>
      <c r="R296" s="68">
        <f t="shared" si="12"/>
        <v>1</v>
      </c>
      <c r="S296" s="3"/>
      <c r="T296" s="3"/>
      <c r="U296" s="67">
        <f>Table14[[#This Row],[Total]]</f>
        <v>20</v>
      </c>
      <c r="V296" s="3"/>
    </row>
    <row r="297" spans="4:22" x14ac:dyDescent="0.3">
      <c r="D297" s="19" t="s">
        <v>171</v>
      </c>
      <c r="I297">
        <v>20</v>
      </c>
      <c r="P297" s="19"/>
      <c r="Q297" s="3">
        <f>SUM(Table14[[#This Row],[1]:[12]])</f>
        <v>20</v>
      </c>
      <c r="R297" s="3">
        <f t="shared" si="12"/>
        <v>1</v>
      </c>
      <c r="S297" s="3"/>
      <c r="T297" s="3"/>
      <c r="U297">
        <f>Table14[[#This Row],[Total]]</f>
        <v>20</v>
      </c>
      <c r="V297" s="3"/>
    </row>
    <row r="298" spans="4:22" x14ac:dyDescent="0.3">
      <c r="D298" s="19" t="s">
        <v>231</v>
      </c>
      <c r="E298" s="65"/>
      <c r="F298" s="65"/>
      <c r="G298" s="65"/>
      <c r="H298" s="65"/>
      <c r="I298" s="65"/>
      <c r="J298" s="65"/>
      <c r="K298" s="65"/>
      <c r="L298" s="65">
        <v>20</v>
      </c>
      <c r="M298" s="65"/>
      <c r="N298" s="65"/>
      <c r="O298" s="65"/>
      <c r="P298" s="64"/>
      <c r="Q298" s="63">
        <f>SUM(Table14[[#This Row],[1]:[12]])</f>
        <v>20</v>
      </c>
      <c r="R298" s="68">
        <f t="shared" si="12"/>
        <v>1</v>
      </c>
      <c r="S298" s="3"/>
      <c r="T298" s="3"/>
      <c r="U298" s="67">
        <f>Table14[[#This Row],[Total]]</f>
        <v>20</v>
      </c>
      <c r="V298" s="3"/>
    </row>
    <row r="299" spans="4:22" x14ac:dyDescent="0.3">
      <c r="D299" s="19" t="s">
        <v>160</v>
      </c>
      <c r="J299">
        <v>20</v>
      </c>
      <c r="P299" s="19"/>
      <c r="Q299" s="3">
        <f>SUM(Table14[[#This Row],[1]:[12]])</f>
        <v>20</v>
      </c>
      <c r="R299" s="3">
        <f t="shared" si="12"/>
        <v>1</v>
      </c>
      <c r="S299" s="3"/>
      <c r="T299" s="3"/>
      <c r="U299">
        <f>Table14[[#This Row],[Total]]</f>
        <v>20</v>
      </c>
      <c r="V299" s="3"/>
    </row>
    <row r="300" spans="4:22" x14ac:dyDescent="0.3">
      <c r="D300" s="19" t="s">
        <v>187</v>
      </c>
      <c r="E300" s="65"/>
      <c r="F300" s="65"/>
      <c r="G300" s="65"/>
      <c r="H300" s="65"/>
      <c r="I300" s="65"/>
      <c r="J300" s="65"/>
      <c r="K300" s="65">
        <v>20</v>
      </c>
      <c r="L300" s="65"/>
      <c r="M300" s="65"/>
      <c r="N300" s="65"/>
      <c r="O300" s="65"/>
      <c r="P300" s="64"/>
      <c r="Q300" s="63">
        <f>SUM(Table14[[#This Row],[1]:[12]])</f>
        <v>20</v>
      </c>
      <c r="R300" s="68">
        <f t="shared" si="12"/>
        <v>1</v>
      </c>
      <c r="S300" s="3"/>
      <c r="T300" s="3"/>
      <c r="U300" s="67">
        <f>Table14[[#This Row],[Total]]</f>
        <v>20</v>
      </c>
      <c r="V300" s="3"/>
    </row>
    <row r="301" spans="4:22" x14ac:dyDescent="0.3">
      <c r="D301" s="19" t="s">
        <v>249</v>
      </c>
      <c r="E301" s="65"/>
      <c r="F301" s="65"/>
      <c r="G301" s="65"/>
      <c r="H301" s="65"/>
      <c r="I301" s="65"/>
      <c r="J301" s="65"/>
      <c r="K301" s="65"/>
      <c r="L301" s="65"/>
      <c r="M301" s="65"/>
      <c r="N301" s="65">
        <v>20</v>
      </c>
      <c r="O301" s="65"/>
      <c r="P301" s="64"/>
      <c r="Q301" s="63">
        <f>SUM(Table14[[#This Row],[1]:[12]])</f>
        <v>20</v>
      </c>
      <c r="R301" s="68">
        <f t="shared" si="12"/>
        <v>1</v>
      </c>
      <c r="S301" s="3"/>
      <c r="T301" s="3"/>
      <c r="U301" s="67">
        <f>Table14[[#This Row],[Total]]</f>
        <v>20</v>
      </c>
      <c r="V301" s="3"/>
    </row>
    <row r="302" spans="4:22" x14ac:dyDescent="0.3">
      <c r="D302" s="62" t="s">
        <v>232</v>
      </c>
      <c r="E302" s="65"/>
      <c r="F302" s="65"/>
      <c r="G302" s="65"/>
      <c r="H302" s="65"/>
      <c r="I302" s="65"/>
      <c r="J302" s="65"/>
      <c r="K302" s="65"/>
      <c r="L302" s="65">
        <v>17</v>
      </c>
      <c r="M302" s="65"/>
      <c r="N302" s="65"/>
      <c r="O302" s="65"/>
      <c r="P302" s="64"/>
      <c r="Q302" s="63">
        <f>SUM(Table14[[#This Row],[1]:[12]])</f>
        <v>17</v>
      </c>
      <c r="R302" s="66">
        <f t="shared" si="12"/>
        <v>1</v>
      </c>
      <c r="S302" s="62"/>
      <c r="T302" s="62"/>
      <c r="U302" s="67">
        <f>Table14[[#This Row],[Total]]</f>
        <v>17</v>
      </c>
      <c r="V302" s="3"/>
    </row>
    <row r="303" spans="4:22" x14ac:dyDescent="0.3">
      <c r="D303" s="62" t="s">
        <v>269</v>
      </c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>
        <v>15</v>
      </c>
      <c r="P303" s="64"/>
      <c r="Q303" s="63">
        <f>SUM(Table14[[#This Row],[1]:[12]])</f>
        <v>15</v>
      </c>
      <c r="R303" s="66">
        <f t="shared" si="12"/>
        <v>1</v>
      </c>
      <c r="S303" s="62"/>
      <c r="T303" s="62"/>
      <c r="U303" s="67">
        <f>Table14[[#This Row],[Total]]</f>
        <v>15</v>
      </c>
      <c r="V303" s="3"/>
    </row>
    <row r="304" spans="4:22" x14ac:dyDescent="0.3">
      <c r="D304" s="62" t="s">
        <v>233</v>
      </c>
      <c r="E304" s="65"/>
      <c r="F304" s="65"/>
      <c r="G304" s="65"/>
      <c r="H304" s="65"/>
      <c r="I304" s="65"/>
      <c r="J304" s="65"/>
      <c r="K304" s="65"/>
      <c r="L304" s="65">
        <v>15</v>
      </c>
      <c r="M304" s="65"/>
      <c r="N304" s="65"/>
      <c r="O304" s="65"/>
      <c r="P304" s="64"/>
      <c r="Q304" s="63">
        <f>SUM(Table14[[#This Row],[1]:[12]])</f>
        <v>15</v>
      </c>
      <c r="R304" s="66">
        <f t="shared" si="12"/>
        <v>1</v>
      </c>
      <c r="S304" s="62"/>
      <c r="T304" s="62"/>
      <c r="U304" s="67">
        <f>Table14[[#This Row],[Total]]</f>
        <v>15</v>
      </c>
      <c r="V304" s="3"/>
    </row>
    <row r="305" spans="4:22" x14ac:dyDescent="0.3">
      <c r="D305" s="62" t="s">
        <v>172</v>
      </c>
      <c r="I305">
        <v>15</v>
      </c>
      <c r="P305" s="19"/>
      <c r="Q305" s="3">
        <f>SUM(Table14[[#This Row],[1]:[12]])</f>
        <v>15</v>
      </c>
      <c r="R305" s="62">
        <f t="shared" si="12"/>
        <v>1</v>
      </c>
      <c r="S305" s="62"/>
      <c r="T305" s="62"/>
      <c r="U305">
        <f>Table14[[#This Row],[Total]]</f>
        <v>15</v>
      </c>
      <c r="V305" s="3"/>
    </row>
    <row r="306" spans="4:22" x14ac:dyDescent="0.3">
      <c r="D306" s="62" t="s">
        <v>238</v>
      </c>
      <c r="E306" s="65"/>
      <c r="F306" s="65"/>
      <c r="G306" s="65"/>
      <c r="H306" s="65"/>
      <c r="I306" s="65"/>
      <c r="J306" s="65"/>
      <c r="K306" s="65"/>
      <c r="L306" s="65"/>
      <c r="M306" s="65">
        <v>15</v>
      </c>
      <c r="N306" s="65"/>
      <c r="O306" s="65"/>
      <c r="P306" s="64"/>
      <c r="Q306" s="63">
        <f>SUM(Table14[[#This Row],[1]:[12]])</f>
        <v>15</v>
      </c>
      <c r="R306" s="66">
        <f t="shared" si="12"/>
        <v>1</v>
      </c>
      <c r="S306" s="62"/>
      <c r="T306" s="62"/>
      <c r="U306" s="67">
        <f>Table14[[#This Row],[Total]]</f>
        <v>15</v>
      </c>
      <c r="V306" s="3"/>
    </row>
    <row r="307" spans="4:22" x14ac:dyDescent="0.3">
      <c r="D307" s="62" t="s">
        <v>239</v>
      </c>
      <c r="E307" s="65"/>
      <c r="F307" s="65"/>
      <c r="G307" s="65"/>
      <c r="H307" s="65"/>
      <c r="I307" s="65"/>
      <c r="J307" s="65"/>
      <c r="K307" s="65"/>
      <c r="L307" s="65"/>
      <c r="M307" s="65">
        <v>13</v>
      </c>
      <c r="N307" s="65"/>
      <c r="O307" s="65"/>
      <c r="P307" s="64"/>
      <c r="Q307" s="63">
        <f>SUM(Table14[[#This Row],[1]:[12]])</f>
        <v>13</v>
      </c>
      <c r="R307" s="66">
        <f t="shared" si="12"/>
        <v>1</v>
      </c>
      <c r="S307" s="62"/>
      <c r="T307" s="62"/>
      <c r="U307" s="67">
        <f>Table14[[#This Row],[Total]]</f>
        <v>13</v>
      </c>
      <c r="V307" s="3"/>
    </row>
    <row r="308" spans="4:22" x14ac:dyDescent="0.3">
      <c r="D308" s="62" t="s">
        <v>270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>
        <v>10</v>
      </c>
      <c r="P308" s="64"/>
      <c r="Q308" s="63">
        <f>SUM(Table14[[#This Row],[1]:[12]])</f>
        <v>10</v>
      </c>
      <c r="R308" s="66">
        <f t="shared" si="12"/>
        <v>1</v>
      </c>
      <c r="S308" s="62"/>
      <c r="T308" s="62"/>
      <c r="U308" s="67">
        <f>Table14[[#This Row],[Total]]</f>
        <v>10</v>
      </c>
      <c r="V308" s="3"/>
    </row>
    <row r="309" spans="4:22" ht="15" thickBot="1" x14ac:dyDescent="0.35">
      <c r="D309" s="62" t="s">
        <v>271</v>
      </c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>
        <v>9</v>
      </c>
      <c r="P309" s="64"/>
      <c r="Q309" s="63">
        <f>SUM(Table14[[#This Row],[1]:[12]])</f>
        <v>9</v>
      </c>
      <c r="R309" s="66">
        <f t="shared" si="12"/>
        <v>1</v>
      </c>
      <c r="S309" s="62"/>
      <c r="T309" s="62"/>
      <c r="U309" s="67">
        <f>Table14[[#This Row],[Total]]</f>
        <v>9</v>
      </c>
      <c r="V309" s="4"/>
    </row>
    <row r="311" spans="4:22" ht="15" thickBot="1" x14ac:dyDescent="0.35"/>
    <row r="312" spans="4:22" ht="153" thickBot="1" x14ac:dyDescent="0.35">
      <c r="D312" s="47" t="s">
        <v>50</v>
      </c>
      <c r="E312" s="46" t="s">
        <v>120</v>
      </c>
      <c r="F312" s="46" t="s">
        <v>121</v>
      </c>
      <c r="G312" s="46" t="s">
        <v>122</v>
      </c>
      <c r="H312" s="46" t="s">
        <v>123</v>
      </c>
      <c r="I312" s="46" t="s">
        <v>124</v>
      </c>
      <c r="J312" s="46" t="s">
        <v>125</v>
      </c>
      <c r="K312" s="46" t="s">
        <v>126</v>
      </c>
      <c r="L312" s="46" t="s">
        <v>127</v>
      </c>
      <c r="M312" s="46" t="s">
        <v>128</v>
      </c>
      <c r="N312" s="46" t="s">
        <v>129</v>
      </c>
      <c r="O312" s="46" t="s">
        <v>130</v>
      </c>
      <c r="P312" s="46" t="s">
        <v>131</v>
      </c>
      <c r="Q312" s="13" t="s">
        <v>34</v>
      </c>
      <c r="R312" s="13" t="s">
        <v>45</v>
      </c>
      <c r="S312" s="109" t="s">
        <v>99</v>
      </c>
      <c r="T312" s="13" t="s">
        <v>103</v>
      </c>
      <c r="U312" s="43" t="s">
        <v>100</v>
      </c>
      <c r="V312" s="43" t="s">
        <v>15</v>
      </c>
    </row>
    <row r="313" spans="4:22" ht="15" thickBot="1" x14ac:dyDescent="0.35">
      <c r="D313" s="85" t="s">
        <v>58</v>
      </c>
      <c r="E313" s="86">
        <v>20</v>
      </c>
      <c r="F313" s="86">
        <v>17</v>
      </c>
      <c r="G313" s="86"/>
      <c r="H313" s="86">
        <v>20</v>
      </c>
      <c r="I313" s="86">
        <v>20</v>
      </c>
      <c r="J313" s="86"/>
      <c r="K313" s="86">
        <v>17</v>
      </c>
      <c r="L313" s="86"/>
      <c r="M313" s="86"/>
      <c r="N313" s="86"/>
      <c r="O313" s="86"/>
      <c r="P313" s="87">
        <v>20</v>
      </c>
      <c r="Q313" s="88">
        <f>SUM(Table15[[#This Row],[1]:[12]])</f>
        <v>114</v>
      </c>
      <c r="R313" s="88">
        <f t="shared" ref="R313:R331" si="13">COUNTIF(E313:P313,"&gt;1")</f>
        <v>6</v>
      </c>
      <c r="S313" s="22" t="s">
        <v>102</v>
      </c>
      <c r="T313" s="95" t="str">
        <f>IF(Table15[[#This Row],[Observed? Y or N]]="N", "-20", "0")</f>
        <v>0</v>
      </c>
      <c r="U313" s="78">
        <f>Table15[[#This Row],[Total]]+Table15[[#This Row],[Penalty Applied]]</f>
        <v>114</v>
      </c>
      <c r="V313" s="95" t="s">
        <v>0</v>
      </c>
    </row>
    <row r="314" spans="4:22" ht="15" thickBot="1" x14ac:dyDescent="0.35">
      <c r="D314" s="50" t="s">
        <v>112</v>
      </c>
      <c r="E314" s="51"/>
      <c r="F314" s="51">
        <v>15</v>
      </c>
      <c r="G314" s="51"/>
      <c r="H314" s="51">
        <v>17</v>
      </c>
      <c r="I314" s="51"/>
      <c r="J314" s="51">
        <v>20</v>
      </c>
      <c r="K314" s="51">
        <v>20</v>
      </c>
      <c r="L314" s="51"/>
      <c r="M314" s="51"/>
      <c r="N314" s="51"/>
      <c r="O314" s="51">
        <v>17</v>
      </c>
      <c r="P314" s="50"/>
      <c r="Q314" s="53">
        <f>SUM(Table15[[#This Row],[1]:[12]])</f>
        <v>89</v>
      </c>
      <c r="R314" s="52">
        <f t="shared" si="13"/>
        <v>5</v>
      </c>
      <c r="S314" s="19" t="s">
        <v>101</v>
      </c>
      <c r="T314" s="54" t="str">
        <f>IF(Table15[[#This Row],[Observed? Y or N]]="N", "-20", "0")</f>
        <v>-20</v>
      </c>
      <c r="U314" s="54">
        <f>Table15[[#This Row],[Total]]+Table15[[#This Row],[Penalty Applied]]</f>
        <v>69</v>
      </c>
      <c r="V314" s="54" t="s">
        <v>1</v>
      </c>
    </row>
    <row r="315" spans="4:22" ht="15" thickBot="1" x14ac:dyDescent="0.35">
      <c r="D315" s="87" t="s">
        <v>86</v>
      </c>
      <c r="E315" s="86"/>
      <c r="F315" s="86"/>
      <c r="G315" s="86"/>
      <c r="H315" s="86">
        <v>15</v>
      </c>
      <c r="I315" s="86">
        <v>15</v>
      </c>
      <c r="J315" s="86"/>
      <c r="K315" s="86">
        <v>15</v>
      </c>
      <c r="L315" s="86"/>
      <c r="M315" s="86"/>
      <c r="N315" s="86"/>
      <c r="O315" s="86"/>
      <c r="P315" s="87"/>
      <c r="Q315" s="88">
        <f>SUM(Table15[[#This Row],[1]:[12]])</f>
        <v>45</v>
      </c>
      <c r="R315" s="90">
        <f t="shared" si="13"/>
        <v>3</v>
      </c>
      <c r="S315" s="19" t="s">
        <v>102</v>
      </c>
      <c r="T315" s="78" t="str">
        <f>IF(Table15[[#This Row],[Observed? Y or N]]="N", "-20", "0")</f>
        <v>0</v>
      </c>
      <c r="U315" s="78">
        <f>Table15[[#This Row],[Total]]+Table15[[#This Row],[Penalty Applied]]</f>
        <v>45</v>
      </c>
      <c r="V315" s="78" t="s">
        <v>2</v>
      </c>
    </row>
    <row r="316" spans="4:22" x14ac:dyDescent="0.3">
      <c r="D316" s="87" t="s">
        <v>277</v>
      </c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7">
        <v>17</v>
      </c>
      <c r="Q316" s="88">
        <f>SUM(Table15[[#This Row],[1]:[12]])</f>
        <v>17</v>
      </c>
      <c r="R316" s="90">
        <f t="shared" si="13"/>
        <v>1</v>
      </c>
      <c r="S316" s="87" t="s">
        <v>102</v>
      </c>
      <c r="T316" s="104" t="str">
        <f>IF(Table15[[#This Row],[Observed? Y or N]]="N", "-20", "0")</f>
        <v>0</v>
      </c>
      <c r="U316" s="104">
        <f>Table15[[#This Row],[Total]]+Table15[[#This Row],[Penalty Applied]]</f>
        <v>17</v>
      </c>
      <c r="V316" s="104"/>
    </row>
    <row r="317" spans="4:22" ht="15" thickBot="1" x14ac:dyDescent="0.35">
      <c r="D317" s="50" t="s">
        <v>135</v>
      </c>
      <c r="E317" s="51">
        <v>13</v>
      </c>
      <c r="F317" s="51">
        <v>11</v>
      </c>
      <c r="G317" s="51"/>
      <c r="H317" s="51"/>
      <c r="I317" s="51"/>
      <c r="J317" s="51"/>
      <c r="K317" s="51"/>
      <c r="L317" s="51"/>
      <c r="M317" s="51"/>
      <c r="N317" s="51"/>
      <c r="O317" s="51"/>
      <c r="P317" s="50"/>
      <c r="Q317" s="52">
        <f>SUM(Table15[[#This Row],[1]:[12]])</f>
        <v>24</v>
      </c>
      <c r="R317" s="52">
        <f t="shared" si="13"/>
        <v>2</v>
      </c>
      <c r="S317" s="19" t="s">
        <v>101</v>
      </c>
      <c r="T317" s="54" t="str">
        <f>IF(Table15[[#This Row],[Observed? Y or N]]="N", "-20", "0")</f>
        <v>-20</v>
      </c>
      <c r="U317" s="54">
        <f>Table15[[#This Row],[Total]]+Table15[[#This Row],[Penalty Applied]]</f>
        <v>4</v>
      </c>
      <c r="V317" s="54"/>
    </row>
    <row r="318" spans="4:22" x14ac:dyDescent="0.3">
      <c r="D318" s="50" t="s">
        <v>205</v>
      </c>
      <c r="E318" s="51"/>
      <c r="F318" s="51">
        <v>20</v>
      </c>
      <c r="G318" s="51"/>
      <c r="H318" s="51"/>
      <c r="I318" s="51"/>
      <c r="J318" s="51"/>
      <c r="K318" s="51"/>
      <c r="L318" s="51"/>
      <c r="M318" s="51"/>
      <c r="N318" s="51"/>
      <c r="O318" s="51"/>
      <c r="P318" s="50"/>
      <c r="Q318" s="53">
        <f>SUM(Table15[[#This Row],[1]:[12]])</f>
        <v>20</v>
      </c>
      <c r="R318" s="52">
        <f t="shared" si="13"/>
        <v>1</v>
      </c>
      <c r="S318" s="19" t="s">
        <v>101</v>
      </c>
      <c r="T318" s="54" t="str">
        <f>IF(Table15[[#This Row],[Observed? Y or N]]="N", "-20", "0")</f>
        <v>-20</v>
      </c>
      <c r="U318" s="54">
        <f>Table15[[#This Row],[Total]]+Table15[[#This Row],[Penalty Applied]]</f>
        <v>0</v>
      </c>
      <c r="V318" s="54"/>
    </row>
    <row r="319" spans="4:22" x14ac:dyDescent="0.3">
      <c r="D319" s="50" t="s">
        <v>265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>
        <v>20</v>
      </c>
      <c r="P319" s="50"/>
      <c r="Q319" s="52">
        <f>SUM(Table15[[#This Row],[1]:[12]])</f>
        <v>20</v>
      </c>
      <c r="R319" s="52">
        <f t="shared" si="13"/>
        <v>1</v>
      </c>
      <c r="S319" s="19" t="s">
        <v>101</v>
      </c>
      <c r="T319" s="54" t="str">
        <f>IF(Table15[[#This Row],[Observed? Y or N]]="N", "-20", "0")</f>
        <v>-20</v>
      </c>
      <c r="U319" s="54">
        <f>Table15[[#This Row],[Total]]+Table15[[#This Row],[Penalty Applied]]</f>
        <v>0</v>
      </c>
      <c r="V319" s="54"/>
    </row>
    <row r="320" spans="4:22" x14ac:dyDescent="0.3">
      <c r="D320" s="50" t="s">
        <v>109</v>
      </c>
      <c r="E320" s="51"/>
      <c r="F320" s="51"/>
      <c r="G320" s="51"/>
      <c r="H320" s="51"/>
      <c r="I320" s="51">
        <v>17</v>
      </c>
      <c r="J320" s="51"/>
      <c r="K320" s="51"/>
      <c r="L320" s="51"/>
      <c r="M320" s="51"/>
      <c r="N320" s="51"/>
      <c r="O320" s="51"/>
      <c r="P320" s="50"/>
      <c r="Q320" s="52">
        <f>SUM(Table15[[#This Row],[1]:[12]])</f>
        <v>17</v>
      </c>
      <c r="R320" s="52">
        <f t="shared" si="13"/>
        <v>1</v>
      </c>
      <c r="S320" s="19" t="s">
        <v>101</v>
      </c>
      <c r="T320" s="54" t="str">
        <f>IF(Table15[[#This Row],[Observed? Y or N]]="N", "-20", "0")</f>
        <v>-20</v>
      </c>
      <c r="U320" s="54">
        <f>Table15[[#This Row],[Total]]+Table15[[#This Row],[Penalty Applied]]</f>
        <v>-3</v>
      </c>
      <c r="V320" s="54"/>
    </row>
    <row r="321" spans="4:22" x14ac:dyDescent="0.3">
      <c r="D321" s="50" t="s">
        <v>197</v>
      </c>
      <c r="E321" s="51">
        <v>17</v>
      </c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0"/>
      <c r="Q321" s="52">
        <f>SUM(Table15[[#This Row],[1]:[12]])</f>
        <v>17</v>
      </c>
      <c r="R321" s="52">
        <f t="shared" si="13"/>
        <v>1</v>
      </c>
      <c r="S321" s="19" t="s">
        <v>101</v>
      </c>
      <c r="T321" s="54" t="str">
        <f>IF(Table15[[#This Row],[Observed? Y or N]]="N", "-20", "0")</f>
        <v>-20</v>
      </c>
      <c r="U321" s="54">
        <f>Table15[[#This Row],[Total]]+Table15[[#This Row],[Penalty Applied]]</f>
        <v>-3</v>
      </c>
      <c r="V321" s="54"/>
    </row>
    <row r="322" spans="4:22" x14ac:dyDescent="0.3">
      <c r="D322" s="50" t="s">
        <v>144</v>
      </c>
      <c r="E322" s="51">
        <v>15</v>
      </c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0"/>
      <c r="Q322" s="52">
        <f>SUM(Table15[[#This Row],[1]:[12]])</f>
        <v>15</v>
      </c>
      <c r="R322" s="52">
        <f t="shared" si="13"/>
        <v>1</v>
      </c>
      <c r="S322" s="19" t="s">
        <v>101</v>
      </c>
      <c r="T322" s="54" t="str">
        <f>IF(Table15[[#This Row],[Observed? Y or N]]="N", "-20", "0")</f>
        <v>-20</v>
      </c>
      <c r="U322" s="54">
        <f>Table15[[#This Row],[Total]]+Table15[[#This Row],[Penalty Applied]]</f>
        <v>-5</v>
      </c>
      <c r="V322" s="54"/>
    </row>
    <row r="323" spans="4:22" x14ac:dyDescent="0.3">
      <c r="D323" s="50" t="s">
        <v>206</v>
      </c>
      <c r="E323" s="51"/>
      <c r="F323" s="51">
        <v>13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0"/>
      <c r="Q323" s="52">
        <f>SUM(Table15[[#This Row],[1]:[12]])</f>
        <v>13</v>
      </c>
      <c r="R323" s="52">
        <f t="shared" si="13"/>
        <v>1</v>
      </c>
      <c r="S323" s="19" t="s">
        <v>101</v>
      </c>
      <c r="T323" s="54" t="str">
        <f>IF(Table15[[#This Row],[Observed? Y or N]]="N", "-20", "0")</f>
        <v>-20</v>
      </c>
      <c r="U323" s="54">
        <f>Table15[[#This Row],[Total]]+Table15[[#This Row],[Penalty Applied]]</f>
        <v>-7</v>
      </c>
      <c r="V323" s="54"/>
    </row>
    <row r="324" spans="4:22" x14ac:dyDescent="0.3">
      <c r="D324" s="50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0"/>
      <c r="Q324" s="52">
        <f>SUM(Table15[[#This Row],[1]:[12]])</f>
        <v>0</v>
      </c>
      <c r="R324" s="52">
        <f t="shared" si="13"/>
        <v>0</v>
      </c>
      <c r="S324" s="19" t="s">
        <v>101</v>
      </c>
      <c r="T324" s="54" t="str">
        <f>IF(Table15[[#This Row],[Observed? Y or N]]="N", "-20", "0")</f>
        <v>-20</v>
      </c>
      <c r="U324" s="54">
        <f>Table15[[#This Row],[Total]]+Table15[[#This Row],[Penalty Applied]]</f>
        <v>-20</v>
      </c>
      <c r="V324" s="54"/>
    </row>
    <row r="325" spans="4:22" x14ac:dyDescent="0.3">
      <c r="D325" s="50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0"/>
      <c r="Q325" s="52">
        <f>SUM(Table15[[#This Row],[1]:[12]])</f>
        <v>0</v>
      </c>
      <c r="R325" s="52">
        <f t="shared" si="13"/>
        <v>0</v>
      </c>
      <c r="S325" s="19" t="s">
        <v>101</v>
      </c>
      <c r="T325" s="54" t="str">
        <f>IF(Table15[[#This Row],[Observed? Y or N]]="N", "-20", "0")</f>
        <v>-20</v>
      </c>
      <c r="U325" s="54">
        <f>Table15[[#This Row],[Total]]+Table15[[#This Row],[Penalty Applied]]</f>
        <v>-20</v>
      </c>
      <c r="V325" s="54"/>
    </row>
    <row r="326" spans="4:22" x14ac:dyDescent="0.3">
      <c r="D326" s="50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0"/>
      <c r="Q326" s="52">
        <f>SUM(E326:P326)</f>
        <v>0</v>
      </c>
      <c r="R326" s="52">
        <f t="shared" si="13"/>
        <v>0</v>
      </c>
      <c r="S326" s="19" t="s">
        <v>101</v>
      </c>
      <c r="T326" s="54" t="str">
        <f>IF(Table15[[#This Row],[Observed? Y or N]]="N", "-20", "0")</f>
        <v>-20</v>
      </c>
      <c r="U326" s="54">
        <f>Table15[[#This Row],[Total]]+Table15[[#This Row],[Penalty Applied]]</f>
        <v>-20</v>
      </c>
      <c r="V326" s="54"/>
    </row>
    <row r="327" spans="4:22" x14ac:dyDescent="0.3">
      <c r="D327" s="19"/>
      <c r="P327" s="19"/>
      <c r="Q327" s="3">
        <f>SUM(Table15[[#This Row],[1]:[12]])</f>
        <v>0</v>
      </c>
      <c r="R327" s="3">
        <f t="shared" si="13"/>
        <v>0</v>
      </c>
      <c r="S327" s="19" t="s">
        <v>101</v>
      </c>
      <c r="T327" s="54" t="str">
        <f>IF(Table15[[#This Row],[Observed? Y or N]]="N", "-20", "0")</f>
        <v>-20</v>
      </c>
      <c r="U327" s="54">
        <f>Table15[[#This Row],[Total]]+Table15[[#This Row],[Penalty Applied]]</f>
        <v>-20</v>
      </c>
      <c r="V327" s="54"/>
    </row>
    <row r="328" spans="4:22" x14ac:dyDescent="0.3">
      <c r="D328" s="50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0"/>
      <c r="Q328" s="52">
        <f>SUM(Table15[[#This Row],[1]:[12]])</f>
        <v>0</v>
      </c>
      <c r="R328" s="52">
        <f t="shared" si="13"/>
        <v>0</v>
      </c>
      <c r="S328" s="19" t="s">
        <v>101</v>
      </c>
      <c r="T328" s="54" t="str">
        <f>IF(Table15[[#This Row],[Observed? Y or N]]="N", "-20", "0")</f>
        <v>-20</v>
      </c>
      <c r="U328" s="54">
        <f>Table15[[#This Row],[Total]]+Table15[[#This Row],[Penalty Applied]]</f>
        <v>-20</v>
      </c>
      <c r="V328" s="54"/>
    </row>
    <row r="329" spans="4:22" x14ac:dyDescent="0.3">
      <c r="D329" s="50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0"/>
      <c r="Q329" s="52">
        <f>SUM(Table15[[#This Row],[1]:[12]])</f>
        <v>0</v>
      </c>
      <c r="R329" s="52">
        <f t="shared" si="13"/>
        <v>0</v>
      </c>
      <c r="S329" s="19" t="s">
        <v>101</v>
      </c>
      <c r="T329" s="54" t="str">
        <f>IF(Table15[[#This Row],[Observed? Y or N]]="N", "-20", "0")</f>
        <v>-20</v>
      </c>
      <c r="U329" s="54">
        <f>Table15[[#This Row],[Total]]+Table15[[#This Row],[Penalty Applied]]</f>
        <v>-20</v>
      </c>
      <c r="V329" s="54"/>
    </row>
    <row r="330" spans="4:22" x14ac:dyDescent="0.3">
      <c r="D330" s="50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0"/>
      <c r="Q330" s="52">
        <f>SUM(Table15[[#This Row],[1]:[12]])</f>
        <v>0</v>
      </c>
      <c r="R330" s="52">
        <f t="shared" si="13"/>
        <v>0</v>
      </c>
      <c r="S330" s="19" t="s">
        <v>101</v>
      </c>
      <c r="T330" s="54" t="str">
        <f>IF(Table15[[#This Row],[Observed? Y or N]]="N", "-20", "0")</f>
        <v>-20</v>
      </c>
      <c r="U330" s="54">
        <f>Table15[[#This Row],[Total]]+Table15[[#This Row],[Penalty Applied]]</f>
        <v>-20</v>
      </c>
      <c r="V330" s="54"/>
    </row>
    <row r="331" spans="4:22" ht="15" thickBot="1" x14ac:dyDescent="0.35">
      <c r="D331" s="19"/>
      <c r="P331" s="19"/>
      <c r="Q331" s="3">
        <f>SUM(Table15[[#This Row],[1]:[12]])</f>
        <v>0</v>
      </c>
      <c r="R331" s="3">
        <f t="shared" si="13"/>
        <v>0</v>
      </c>
      <c r="S331" s="19" t="s">
        <v>101</v>
      </c>
      <c r="T331" s="54" t="str">
        <f>IF(Table15[[#This Row],[Observed? Y or N]]="N", "-20", "0")</f>
        <v>-20</v>
      </c>
      <c r="U331" s="54">
        <f>Table15[[#This Row],[Total]]+Table15[[#This Row],[Penalty Applied]]</f>
        <v>-20</v>
      </c>
      <c r="V331" s="56"/>
    </row>
    <row r="333" spans="4:22" ht="15" thickBot="1" x14ac:dyDescent="0.35"/>
    <row r="334" spans="4:22" ht="153" thickBot="1" x14ac:dyDescent="0.35">
      <c r="D334" s="47" t="s">
        <v>51</v>
      </c>
      <c r="E334" s="46" t="s">
        <v>120</v>
      </c>
      <c r="F334" s="46" t="s">
        <v>121</v>
      </c>
      <c r="G334" s="46" t="s">
        <v>122</v>
      </c>
      <c r="H334" s="46" t="s">
        <v>123</v>
      </c>
      <c r="I334" s="46" t="s">
        <v>124</v>
      </c>
      <c r="J334" s="46" t="s">
        <v>125</v>
      </c>
      <c r="K334" s="46" t="s">
        <v>126</v>
      </c>
      <c r="L334" s="46" t="s">
        <v>127</v>
      </c>
      <c r="M334" s="46" t="s">
        <v>128</v>
      </c>
      <c r="N334" s="46" t="s">
        <v>129</v>
      </c>
      <c r="O334" s="46" t="s">
        <v>130</v>
      </c>
      <c r="P334" s="46" t="s">
        <v>131</v>
      </c>
      <c r="Q334" s="13" t="s">
        <v>34</v>
      </c>
      <c r="R334" s="13" t="s">
        <v>45</v>
      </c>
      <c r="S334" s="109" t="s">
        <v>99</v>
      </c>
      <c r="T334" s="13" t="s">
        <v>103</v>
      </c>
      <c r="U334" s="43" t="s">
        <v>100</v>
      </c>
      <c r="V334" s="43" t="s">
        <v>15</v>
      </c>
    </row>
    <row r="335" spans="4:22" x14ac:dyDescent="0.3">
      <c r="D335" s="19" t="s">
        <v>105</v>
      </c>
      <c r="K335">
        <v>20</v>
      </c>
      <c r="O335">
        <v>15</v>
      </c>
      <c r="P335" s="19"/>
      <c r="Q335" s="3">
        <f>SUM(Table16[[#This Row],[1]:[12]])</f>
        <v>35</v>
      </c>
      <c r="R335" s="2">
        <f>COUNTIF(E335:P335,"&gt;1")</f>
        <v>2</v>
      </c>
      <c r="S335" s="2" t="s">
        <v>102</v>
      </c>
      <c r="T335" s="2" t="str">
        <f>IF(Table16[[#This Row],[Observed? Y or N]]="N", "-20", "0")</f>
        <v>0</v>
      </c>
      <c r="U335">
        <f>Table16[[#This Row],[Total]]+Table16[[#This Row],[Penalty Applied]]</f>
        <v>35</v>
      </c>
      <c r="V335" s="2" t="s">
        <v>0</v>
      </c>
    </row>
    <row r="336" spans="4:22" x14ac:dyDescent="0.3">
      <c r="D336" s="50" t="s">
        <v>263</v>
      </c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>
        <v>20</v>
      </c>
      <c r="P336" s="50"/>
      <c r="Q336" s="52">
        <f>SUM(Table16[[#This Row],[1]:[12]])</f>
        <v>20</v>
      </c>
      <c r="R336" s="52">
        <f>COUNTIF(E336:P336,"&gt;1")</f>
        <v>1</v>
      </c>
      <c r="S336" s="3" t="s">
        <v>101</v>
      </c>
      <c r="T336" s="54" t="str">
        <f>IF(Table16[[#This Row],[Observed? Y or N]]="N", "-20", "0")</f>
        <v>-20</v>
      </c>
      <c r="U336" s="49">
        <f>Table16[[#This Row],[Total]]+Table16[[#This Row],[Penalty Applied]]</f>
        <v>0</v>
      </c>
      <c r="V336" s="54"/>
    </row>
    <row r="337" spans="4:22" ht="15" thickBot="1" x14ac:dyDescent="0.35">
      <c r="D337" s="50" t="s">
        <v>264</v>
      </c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>
        <v>17</v>
      </c>
      <c r="P337" s="50"/>
      <c r="Q337" s="52">
        <f>SUM(Table16[[#This Row],[1]:[12]])</f>
        <v>17</v>
      </c>
      <c r="R337" s="52">
        <f>COUNTIF(E337:P337,"&gt;1")</f>
        <v>1</v>
      </c>
      <c r="S337" s="3" t="s">
        <v>101</v>
      </c>
      <c r="T337" s="54" t="str">
        <f>IF(Table16[[#This Row],[Observed? Y or N]]="N", "-20", "0")</f>
        <v>-20</v>
      </c>
      <c r="U337" s="49">
        <f>Table16[[#This Row],[Total]]+Table16[[#This Row],[Penalty Applied]]</f>
        <v>-3</v>
      </c>
      <c r="V337" s="56"/>
    </row>
  </sheetData>
  <sortState xmlns:xlrd2="http://schemas.microsoft.com/office/spreadsheetml/2017/richdata2" ref="D273:Q275">
    <sortCondition descending="1" ref="Q273"/>
  </sortState>
  <mergeCells count="3">
    <mergeCell ref="A9:B9"/>
    <mergeCell ref="D2:T5"/>
    <mergeCell ref="Q6:T6"/>
  </mergeCells>
  <phoneticPr fontId="5" type="noConversion"/>
  <pageMargins left="0.7" right="0.7" top="0.75" bottom="0.75" header="0.3" footer="0.3"/>
  <pageSetup paperSize="8" scale="78" fitToHeight="0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987EAE4-9BBB-4F54-A200-6CD36D7C7DD3}">
            <xm:f>NOT(ISERROR(SEARCH("N",S11)))</xm:f>
            <xm:f>"N"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9CDF0788-6927-4118-8EDD-D57A1AF9B706}">
            <xm:f>NOT(ISERROR(SEARCH("Y",S11)))</xm:f>
            <xm:f>"Y"</xm:f>
            <x14:dxf>
              <fill>
                <patternFill>
                  <bgColor theme="9" tint="0.59996337778862885"/>
                </patternFill>
              </fill>
            </x14:dxf>
          </x14:cfRule>
          <xm:sqref>S11:S28 S255:S260 S262:S271 S273:S289 S335:S337 S291:S311 S30:S45 S91:S106 S108:S134 S190:S225 S248:S253 S47:S89 S136:S188 S227:S246 S313:S333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62EA-73DF-4D9C-83CD-96A93966DA60}">
  <dimension ref="A1:Q25"/>
  <sheetViews>
    <sheetView workbookViewId="0">
      <selection activeCell="N21" sqref="N21"/>
    </sheetView>
  </sheetViews>
  <sheetFormatPr defaultRowHeight="14.4" x14ac:dyDescent="0.3"/>
  <sheetData>
    <row r="1" spans="1:17" x14ac:dyDescent="0.3">
      <c r="A1" s="2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8"/>
      <c r="N1" s="38"/>
      <c r="O1" s="27"/>
      <c r="P1" s="28"/>
      <c r="Q1" s="27"/>
    </row>
    <row r="2" spans="1:17" x14ac:dyDescent="0.3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5"/>
      <c r="O2" s="31"/>
      <c r="P2" s="30"/>
      <c r="Q2" s="31"/>
    </row>
    <row r="3" spans="1:17" x14ac:dyDescent="0.3">
      <c r="A3" s="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36"/>
      <c r="O3" s="32"/>
      <c r="P3" s="26"/>
      <c r="Q3" s="32"/>
    </row>
    <row r="4" spans="1:17" x14ac:dyDescent="0.3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5"/>
      <c r="O4" s="31"/>
      <c r="P4" s="30"/>
      <c r="Q4" s="31"/>
    </row>
    <row r="5" spans="1:17" x14ac:dyDescent="0.3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35"/>
      <c r="O5" s="32"/>
      <c r="P5" s="26"/>
      <c r="Q5" s="32"/>
    </row>
    <row r="6" spans="1:17" x14ac:dyDescent="0.3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5"/>
      <c r="O6" s="31"/>
      <c r="P6" s="30"/>
      <c r="Q6" s="31"/>
    </row>
    <row r="7" spans="1:17" x14ac:dyDescent="0.3">
      <c r="A7" s="31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5"/>
      <c r="O7" s="32"/>
      <c r="P7" s="26"/>
      <c r="Q7" s="32"/>
    </row>
    <row r="8" spans="1:17" x14ac:dyDescent="0.3">
      <c r="A8" s="3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36"/>
      <c r="O8" s="31"/>
      <c r="P8" s="30"/>
      <c r="Q8" s="31"/>
    </row>
    <row r="9" spans="1:17" x14ac:dyDescent="0.3">
      <c r="A9" s="3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36"/>
      <c r="O9" s="32"/>
      <c r="P9" s="26"/>
      <c r="Q9" s="32"/>
    </row>
    <row r="10" spans="1:17" x14ac:dyDescent="0.3">
      <c r="A10" s="3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5"/>
      <c r="O10" s="31"/>
      <c r="P10" s="30"/>
      <c r="Q10" s="31"/>
    </row>
    <row r="11" spans="1:17" x14ac:dyDescent="0.3">
      <c r="A11" s="3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36"/>
      <c r="O11" s="32"/>
      <c r="P11" s="26"/>
      <c r="Q11" s="32"/>
    </row>
    <row r="12" spans="1:17" x14ac:dyDescent="0.3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5"/>
      <c r="O12" s="31"/>
      <c r="P12" s="30"/>
      <c r="Q12" s="31"/>
    </row>
    <row r="13" spans="1:17" x14ac:dyDescent="0.3">
      <c r="A13" s="3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36"/>
      <c r="O13" s="32"/>
      <c r="P13" s="26"/>
      <c r="Q13" s="32"/>
    </row>
    <row r="14" spans="1:17" x14ac:dyDescent="0.3">
      <c r="A14" s="3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36"/>
      <c r="O14" s="31"/>
      <c r="P14" s="30"/>
      <c r="Q14" s="31"/>
    </row>
    <row r="15" spans="1:17" x14ac:dyDescent="0.3">
      <c r="A15" s="3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36"/>
      <c r="O15" s="32"/>
      <c r="P15" s="26"/>
      <c r="Q15" s="32"/>
    </row>
    <row r="16" spans="1:17" x14ac:dyDescent="0.3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5"/>
      <c r="O16" s="31"/>
      <c r="P16" s="30"/>
      <c r="Q16" s="31"/>
    </row>
    <row r="17" spans="1:17" x14ac:dyDescent="0.3">
      <c r="A17" s="3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36"/>
      <c r="O17" s="32"/>
      <c r="P17" s="26"/>
      <c r="Q17" s="32"/>
    </row>
    <row r="18" spans="1:17" x14ac:dyDescent="0.3">
      <c r="A18" s="3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36"/>
      <c r="O18" s="31"/>
      <c r="P18" s="30"/>
      <c r="Q18" s="31"/>
    </row>
    <row r="19" spans="1:17" ht="15" thickBot="1" x14ac:dyDescent="0.3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4"/>
      <c r="N19" s="40"/>
      <c r="O19" s="33"/>
      <c r="P19" s="34"/>
      <c r="Q19" s="33"/>
    </row>
    <row r="25" spans="1:17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ortState xmlns:xlrd2="http://schemas.microsoft.com/office/spreadsheetml/2017/richdata2" ref="A1:N19">
    <sortCondition descending="1" ref="N1"/>
  </sortState>
  <pageMargins left="0.7" right="0.7" top="0.75" bottom="0.75" header="0.3" footer="0.3"/>
  <pageSetup paperSize="2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Seamer</dc:creator>
  <cp:lastModifiedBy>Liam Seamer</cp:lastModifiedBy>
  <cp:lastPrinted>2022-10-11T09:59:25Z</cp:lastPrinted>
  <dcterms:created xsi:type="dcterms:W3CDTF">2018-08-30T18:12:19Z</dcterms:created>
  <dcterms:modified xsi:type="dcterms:W3CDTF">2023-12-21T16:37:45Z</dcterms:modified>
</cp:coreProperties>
</file>